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3-2024\Питание 2023\Меню 2024\"/>
    </mc:Choice>
  </mc:AlternateContent>
  <bookViews>
    <workbookView xWindow="0" yWindow="0" windowWidth="28800" windowHeight="12048" tabRatio="815"/>
  </bookViews>
  <sheets>
    <sheet name="70 руб ГПД " sheetId="1" r:id="rId1"/>
    <sheet name="127-49 руб 7-11 лет  коррек" sheetId="8" state="hidden" r:id="rId2"/>
    <sheet name="139-29  руб 12-18 лет коррекц " sheetId="9" state="hidden" r:id="rId3"/>
  </sheets>
  <definedNames>
    <definedName name="_xlnm.Print_Area" localSheetId="1">'127-49 руб 7-11 лет  коррек'!$A$1:$N$159</definedName>
    <definedName name="_xlnm.Print_Area" localSheetId="2">'139-29  руб 12-18 лет коррекц '!$A$1:$N$161</definedName>
    <definedName name="_xlnm.Print_Area" localSheetId="0">'70 руб ГПД '!$A$1:$G$160</definedName>
  </definedNames>
  <calcPr calcId="162913" refMode="R1C1"/>
</workbook>
</file>

<file path=xl/calcChain.xml><?xml version="1.0" encoding="utf-8"?>
<calcChain xmlns="http://schemas.openxmlformats.org/spreadsheetml/2006/main">
  <c r="G38" i="1" l="1"/>
  <c r="F38" i="1"/>
  <c r="E38" i="1"/>
  <c r="D38" i="1"/>
  <c r="G108" i="1"/>
  <c r="F108" i="1"/>
  <c r="E108" i="1"/>
  <c r="D108" i="1"/>
  <c r="D115" i="1"/>
  <c r="E115" i="1"/>
  <c r="F115" i="1"/>
  <c r="G115" i="1"/>
  <c r="E30" i="1" l="1"/>
  <c r="F30" i="1"/>
  <c r="G30" i="1"/>
  <c r="D30" i="1"/>
  <c r="G155" i="1" l="1"/>
  <c r="F155" i="1"/>
  <c r="E155" i="1"/>
  <c r="D155" i="1"/>
  <c r="G147" i="1"/>
  <c r="F147" i="1"/>
  <c r="E147" i="1"/>
  <c r="D147" i="1"/>
  <c r="G139" i="1"/>
  <c r="F139" i="1"/>
  <c r="E139" i="1"/>
  <c r="D139" i="1"/>
  <c r="G131" i="1"/>
  <c r="F131" i="1"/>
  <c r="E131" i="1"/>
  <c r="D131" i="1"/>
  <c r="G123" i="1"/>
  <c r="F123" i="1"/>
  <c r="E123" i="1"/>
  <c r="D123" i="1"/>
  <c r="G100" i="1"/>
  <c r="F100" i="1"/>
  <c r="E100" i="1"/>
  <c r="D100" i="1"/>
  <c r="G92" i="1"/>
  <c r="F92" i="1"/>
  <c r="E92" i="1"/>
  <c r="D92" i="1"/>
  <c r="G84" i="1"/>
  <c r="F84" i="1"/>
  <c r="E84" i="1"/>
  <c r="D84" i="1"/>
  <c r="G76" i="1"/>
  <c r="F76" i="1"/>
  <c r="E76" i="1"/>
  <c r="D76" i="1"/>
  <c r="G68" i="1"/>
  <c r="F68" i="1"/>
  <c r="E68" i="1"/>
  <c r="D68" i="1"/>
  <c r="G61" i="1"/>
  <c r="D61" i="1"/>
  <c r="G53" i="1"/>
  <c r="F53" i="1"/>
  <c r="E53" i="1"/>
  <c r="D53" i="1"/>
  <c r="G45" i="1"/>
  <c r="F45" i="1"/>
  <c r="E45" i="1"/>
  <c r="D45" i="1"/>
  <c r="G22" i="1"/>
  <c r="F22" i="1"/>
  <c r="E22" i="1"/>
  <c r="D22" i="1"/>
  <c r="G14" i="1"/>
  <c r="F14" i="1"/>
  <c r="E14" i="1"/>
  <c r="D14" i="1"/>
  <c r="G7" i="1"/>
  <c r="F7" i="1"/>
  <c r="E7" i="1"/>
  <c r="D7" i="1"/>
  <c r="G11" i="9" l="1"/>
  <c r="F11" i="9"/>
  <c r="E11" i="9"/>
  <c r="D11" i="9"/>
  <c r="G116" i="9"/>
  <c r="F116" i="9"/>
  <c r="E116" i="9"/>
  <c r="D116" i="9"/>
  <c r="G116" i="8"/>
  <c r="F116" i="8"/>
  <c r="E116" i="8"/>
  <c r="D116" i="8"/>
  <c r="G11" i="8"/>
  <c r="F11" i="8"/>
  <c r="E11" i="8"/>
  <c r="D11" i="8"/>
  <c r="G99" i="8" l="1"/>
  <c r="F111" i="8" l="1"/>
  <c r="E111" i="8"/>
  <c r="D111" i="8"/>
  <c r="C75" i="8"/>
  <c r="G154" i="9" l="1"/>
  <c r="F154" i="9"/>
  <c r="E154" i="9"/>
  <c r="D154" i="9"/>
  <c r="G138" i="9"/>
  <c r="F138" i="9"/>
  <c r="E138" i="9"/>
  <c r="D138" i="9"/>
  <c r="D138" i="8"/>
  <c r="E138" i="8"/>
  <c r="F138" i="8"/>
  <c r="G122" i="9"/>
  <c r="F122" i="9"/>
  <c r="E122" i="9"/>
  <c r="D122" i="9"/>
  <c r="G107" i="9"/>
  <c r="G105" i="9" s="1"/>
  <c r="F107" i="9"/>
  <c r="E107" i="9"/>
  <c r="D107" i="9"/>
  <c r="G93" i="9"/>
  <c r="F93" i="9"/>
  <c r="E93" i="9"/>
  <c r="D93" i="9"/>
  <c r="E64" i="9"/>
  <c r="F64" i="9"/>
  <c r="D64" i="9"/>
  <c r="G48" i="9"/>
  <c r="F48" i="9"/>
  <c r="E48" i="9"/>
  <c r="D48" i="9"/>
  <c r="G33" i="9"/>
  <c r="F33" i="9"/>
  <c r="E33" i="9"/>
  <c r="D33" i="9"/>
  <c r="G78" i="9"/>
  <c r="F78" i="9"/>
  <c r="E78" i="9"/>
  <c r="D78" i="9"/>
  <c r="G19" i="9"/>
  <c r="F19" i="9"/>
  <c r="E19" i="9"/>
  <c r="D19" i="9"/>
  <c r="E107" i="8"/>
  <c r="D107" i="8"/>
  <c r="F107" i="8"/>
  <c r="F122" i="8"/>
  <c r="E122" i="8"/>
  <c r="D122" i="8"/>
  <c r="F93" i="8"/>
  <c r="E93" i="8"/>
  <c r="D93" i="8"/>
  <c r="E64" i="8"/>
  <c r="F64" i="8"/>
  <c r="D64" i="8"/>
  <c r="G48" i="8"/>
  <c r="F48" i="8"/>
  <c r="E48" i="8"/>
  <c r="D48" i="8"/>
  <c r="F33" i="8"/>
  <c r="E33" i="8"/>
  <c r="D33" i="8"/>
  <c r="E154" i="8"/>
  <c r="G154" i="8"/>
  <c r="G152" i="8" s="1"/>
  <c r="F154" i="8"/>
  <c r="D154" i="8"/>
  <c r="F78" i="8"/>
  <c r="E78" i="8"/>
  <c r="E19" i="8"/>
  <c r="F19" i="8"/>
  <c r="P160" i="9"/>
  <c r="P159" i="9"/>
  <c r="C159" i="9"/>
  <c r="P158" i="9"/>
  <c r="P157" i="9"/>
  <c r="G156" i="9"/>
  <c r="F156" i="9"/>
  <c r="E156" i="9"/>
  <c r="D156" i="9"/>
  <c r="P155" i="9"/>
  <c r="G153" i="9"/>
  <c r="F153" i="9"/>
  <c r="E153" i="9"/>
  <c r="D153" i="9"/>
  <c r="O152" i="9"/>
  <c r="N152" i="9"/>
  <c r="M152" i="9"/>
  <c r="L152" i="9"/>
  <c r="K152" i="9"/>
  <c r="J152" i="9"/>
  <c r="I152" i="9"/>
  <c r="H152" i="9"/>
  <c r="D152" i="9"/>
  <c r="P151" i="9"/>
  <c r="C151" i="9"/>
  <c r="G150" i="9"/>
  <c r="F150" i="9"/>
  <c r="F145" i="9" s="1"/>
  <c r="E150" i="9"/>
  <c r="D150" i="9"/>
  <c r="P149" i="9"/>
  <c r="P148" i="9"/>
  <c r="G147" i="9"/>
  <c r="G145" i="9" s="1"/>
  <c r="F147" i="9"/>
  <c r="E147" i="9"/>
  <c r="D147" i="9"/>
  <c r="D145" i="9" s="1"/>
  <c r="P146" i="9"/>
  <c r="O145" i="9"/>
  <c r="N145" i="9"/>
  <c r="M145" i="9"/>
  <c r="M144" i="9" s="1"/>
  <c r="L145" i="9"/>
  <c r="L144" i="9" s="1"/>
  <c r="K145" i="9"/>
  <c r="K144" i="9" s="1"/>
  <c r="J145" i="9"/>
  <c r="I145" i="9"/>
  <c r="H145" i="9"/>
  <c r="H144" i="9" s="1"/>
  <c r="O144" i="9"/>
  <c r="I144" i="9"/>
  <c r="P143" i="9"/>
  <c r="C143" i="9"/>
  <c r="P142" i="9"/>
  <c r="P141" i="9"/>
  <c r="F140" i="9"/>
  <c r="E140" i="9"/>
  <c r="E136" i="9" s="1"/>
  <c r="D140" i="9"/>
  <c r="P140" i="9" s="1"/>
  <c r="P139" i="9"/>
  <c r="P138" i="9"/>
  <c r="G137" i="9"/>
  <c r="F137" i="9"/>
  <c r="E137" i="9"/>
  <c r="D137" i="9"/>
  <c r="O136" i="9"/>
  <c r="N136" i="9"/>
  <c r="M136" i="9"/>
  <c r="L136" i="9"/>
  <c r="K136" i="9"/>
  <c r="J136" i="9"/>
  <c r="I136" i="9"/>
  <c r="H136" i="9"/>
  <c r="G136" i="9"/>
  <c r="F136" i="9"/>
  <c r="P135" i="9"/>
  <c r="C135" i="9"/>
  <c r="G134" i="9"/>
  <c r="G129" i="9" s="1"/>
  <c r="G128" i="9" s="1"/>
  <c r="F134" i="9"/>
  <c r="E134" i="9"/>
  <c r="D134" i="9"/>
  <c r="P133" i="9"/>
  <c r="P132" i="9"/>
  <c r="F131" i="9"/>
  <c r="E131" i="9"/>
  <c r="D131" i="9"/>
  <c r="P130" i="9"/>
  <c r="O129" i="9"/>
  <c r="N129" i="9"/>
  <c r="M129" i="9"/>
  <c r="M128" i="9" s="1"/>
  <c r="L129" i="9"/>
  <c r="K129" i="9"/>
  <c r="J129" i="9"/>
  <c r="I129" i="9"/>
  <c r="I128" i="9" s="1"/>
  <c r="H129" i="9"/>
  <c r="F129" i="9"/>
  <c r="O128" i="9"/>
  <c r="L128" i="9"/>
  <c r="K128" i="9"/>
  <c r="J128" i="9"/>
  <c r="H128" i="9"/>
  <c r="P127" i="9"/>
  <c r="C127" i="9"/>
  <c r="P126" i="9"/>
  <c r="D125" i="9"/>
  <c r="P125" i="9" s="1"/>
  <c r="F124" i="9"/>
  <c r="E124" i="9"/>
  <c r="D124" i="9"/>
  <c r="G123" i="9"/>
  <c r="F123" i="9"/>
  <c r="E123" i="9"/>
  <c r="D123" i="9"/>
  <c r="G121" i="9"/>
  <c r="F121" i="9"/>
  <c r="E121" i="9"/>
  <c r="D121" i="9"/>
  <c r="O120" i="9"/>
  <c r="N120" i="9"/>
  <c r="M120" i="9"/>
  <c r="L120" i="9"/>
  <c r="K120" i="9"/>
  <c r="J120" i="9"/>
  <c r="I120" i="9"/>
  <c r="H120" i="9"/>
  <c r="D120" i="9"/>
  <c r="P119" i="9"/>
  <c r="C119" i="9"/>
  <c r="P118" i="9"/>
  <c r="P117" i="9"/>
  <c r="P116" i="9"/>
  <c r="F115" i="9"/>
  <c r="E115" i="9"/>
  <c r="D115" i="9"/>
  <c r="O114" i="9"/>
  <c r="N114" i="9"/>
  <c r="M114" i="9"/>
  <c r="L114" i="9"/>
  <c r="L113" i="9" s="1"/>
  <c r="K114" i="9"/>
  <c r="J114" i="9"/>
  <c r="I114" i="9"/>
  <c r="H114" i="9"/>
  <c r="H113" i="9" s="1"/>
  <c r="G114" i="9"/>
  <c r="F114" i="9"/>
  <c r="E114" i="9"/>
  <c r="D114" i="9"/>
  <c r="N113" i="9"/>
  <c r="J113" i="9"/>
  <c r="P112" i="9"/>
  <c r="C112" i="9"/>
  <c r="P111" i="9"/>
  <c r="D110" i="9"/>
  <c r="F109" i="9"/>
  <c r="E109" i="9"/>
  <c r="P108" i="9"/>
  <c r="F106" i="9"/>
  <c r="E106" i="9"/>
  <c r="D106" i="9"/>
  <c r="J105" i="9"/>
  <c r="P104" i="9"/>
  <c r="C104" i="9"/>
  <c r="G103" i="9"/>
  <c r="G99" i="9" s="1"/>
  <c r="F103" i="9"/>
  <c r="E103" i="9"/>
  <c r="D103" i="9"/>
  <c r="P102" i="9"/>
  <c r="F101" i="9"/>
  <c r="E101" i="9"/>
  <c r="E99" i="9" s="1"/>
  <c r="D101" i="9"/>
  <c r="P100" i="9"/>
  <c r="O99" i="9"/>
  <c r="N99" i="9"/>
  <c r="N98" i="9" s="1"/>
  <c r="M99" i="9"/>
  <c r="M98" i="9" s="1"/>
  <c r="L99" i="9"/>
  <c r="K99" i="9"/>
  <c r="J99" i="9"/>
  <c r="J98" i="9" s="1"/>
  <c r="I99" i="9"/>
  <c r="I98" i="9" s="1"/>
  <c r="H99" i="9"/>
  <c r="F99" i="9"/>
  <c r="D99" i="9"/>
  <c r="O98" i="9"/>
  <c r="L98" i="9"/>
  <c r="K98" i="9"/>
  <c r="H98" i="9"/>
  <c r="P97" i="9"/>
  <c r="C97" i="9"/>
  <c r="P96" i="9"/>
  <c r="P95" i="9"/>
  <c r="G94" i="9"/>
  <c r="G91" i="9" s="1"/>
  <c r="F94" i="9"/>
  <c r="E94" i="9"/>
  <c r="D94" i="9"/>
  <c r="P94" i="9" s="1"/>
  <c r="F92" i="9"/>
  <c r="D92" i="9"/>
  <c r="O91" i="9"/>
  <c r="N91" i="9"/>
  <c r="M91" i="9"/>
  <c r="L91" i="9"/>
  <c r="K91" i="9"/>
  <c r="J91" i="9"/>
  <c r="I91" i="9"/>
  <c r="H91" i="9"/>
  <c r="F91" i="9"/>
  <c r="E91" i="9"/>
  <c r="P90" i="9"/>
  <c r="C90" i="9"/>
  <c r="G89" i="9"/>
  <c r="G85" i="9" s="1"/>
  <c r="F89" i="9"/>
  <c r="F85" i="9" s="1"/>
  <c r="F84" i="9" s="1"/>
  <c r="E89" i="9"/>
  <c r="E85" i="9" s="1"/>
  <c r="D89" i="9"/>
  <c r="P88" i="9"/>
  <c r="P87" i="9"/>
  <c r="P86" i="9"/>
  <c r="O85" i="9"/>
  <c r="N85" i="9"/>
  <c r="N84" i="9" s="1"/>
  <c r="M85" i="9"/>
  <c r="M84" i="9" s="1"/>
  <c r="L85" i="9"/>
  <c r="K85" i="9"/>
  <c r="J85" i="9"/>
  <c r="J84" i="9" s="1"/>
  <c r="I85" i="9"/>
  <c r="I84" i="9" s="1"/>
  <c r="H85" i="9"/>
  <c r="H84" i="9" s="1"/>
  <c r="D85" i="9"/>
  <c r="O84" i="9"/>
  <c r="L84" i="9"/>
  <c r="K84" i="9"/>
  <c r="P83" i="9"/>
  <c r="C83" i="9"/>
  <c r="P82" i="9"/>
  <c r="P81" i="9"/>
  <c r="G80" i="9"/>
  <c r="F80" i="9"/>
  <c r="F76" i="9" s="1"/>
  <c r="E80" i="9"/>
  <c r="D80" i="9"/>
  <c r="P79" i="9"/>
  <c r="P78" i="9"/>
  <c r="G77" i="9"/>
  <c r="F77" i="9"/>
  <c r="E77" i="9"/>
  <c r="D77" i="9"/>
  <c r="O76" i="9"/>
  <c r="N76" i="9"/>
  <c r="M76" i="9"/>
  <c r="L76" i="9"/>
  <c r="K76" i="9"/>
  <c r="J76" i="9"/>
  <c r="I76" i="9"/>
  <c r="H76" i="9"/>
  <c r="G76" i="9"/>
  <c r="P75" i="9"/>
  <c r="C75" i="9"/>
  <c r="G74" i="9"/>
  <c r="F74" i="9"/>
  <c r="F70" i="9" s="1"/>
  <c r="E74" i="9"/>
  <c r="E70" i="9" s="1"/>
  <c r="D74" i="9"/>
  <c r="D70" i="9" s="1"/>
  <c r="P73" i="9"/>
  <c r="P72" i="9"/>
  <c r="P71" i="9"/>
  <c r="O70" i="9"/>
  <c r="O69" i="9" s="1"/>
  <c r="N70" i="9"/>
  <c r="M70" i="9"/>
  <c r="L70" i="9"/>
  <c r="K70" i="9"/>
  <c r="J70" i="9"/>
  <c r="I70" i="9"/>
  <c r="H70" i="9"/>
  <c r="G70" i="9"/>
  <c r="G69" i="9" s="1"/>
  <c r="M69" i="9"/>
  <c r="K69" i="9"/>
  <c r="I69" i="9"/>
  <c r="P68" i="9"/>
  <c r="C68" i="9"/>
  <c r="P67" i="9"/>
  <c r="P66" i="9"/>
  <c r="P65" i="9"/>
  <c r="G63" i="9"/>
  <c r="G62" i="9" s="1"/>
  <c r="F63" i="9"/>
  <c r="E63" i="9"/>
  <c r="D63" i="9"/>
  <c r="O62" i="9"/>
  <c r="N62" i="9"/>
  <c r="M62" i="9"/>
  <c r="L62" i="9"/>
  <c r="K62" i="9"/>
  <c r="J62" i="9"/>
  <c r="I62" i="9"/>
  <c r="H62" i="9"/>
  <c r="P61" i="9"/>
  <c r="C61" i="9"/>
  <c r="P60" i="9"/>
  <c r="P59" i="9"/>
  <c r="F58" i="9"/>
  <c r="F56" i="9" s="1"/>
  <c r="E58" i="9"/>
  <c r="D58" i="9"/>
  <c r="P57" i="9"/>
  <c r="O56" i="9"/>
  <c r="O55" i="9" s="1"/>
  <c r="N56" i="9"/>
  <c r="M56" i="9"/>
  <c r="L56" i="9"/>
  <c r="K56" i="9"/>
  <c r="J56" i="9"/>
  <c r="I56" i="9"/>
  <c r="I55" i="9" s="1"/>
  <c r="H56" i="9"/>
  <c r="G56" i="9"/>
  <c r="E56" i="9"/>
  <c r="M55" i="9"/>
  <c r="K55" i="9"/>
  <c r="P54" i="9"/>
  <c r="P53" i="9"/>
  <c r="C53" i="9"/>
  <c r="P52" i="9"/>
  <c r="P51" i="9"/>
  <c r="F50" i="9"/>
  <c r="E50" i="9"/>
  <c r="D50" i="9"/>
  <c r="G49" i="9"/>
  <c r="F49" i="9"/>
  <c r="E49" i="9"/>
  <c r="D49" i="9"/>
  <c r="P48" i="9"/>
  <c r="G47" i="9"/>
  <c r="F47" i="9"/>
  <c r="F46" i="9" s="1"/>
  <c r="E47" i="9"/>
  <c r="D47" i="9"/>
  <c r="O46" i="9"/>
  <c r="N46" i="9"/>
  <c r="M46" i="9"/>
  <c r="L46" i="9"/>
  <c r="K46" i="9"/>
  <c r="J46" i="9"/>
  <c r="J39" i="9" s="1"/>
  <c r="I46" i="9"/>
  <c r="H46" i="9"/>
  <c r="P45" i="9"/>
  <c r="C45" i="9"/>
  <c r="G44" i="9"/>
  <c r="G40" i="9" s="1"/>
  <c r="F44" i="9"/>
  <c r="F40" i="9" s="1"/>
  <c r="E44" i="9"/>
  <c r="E40" i="9" s="1"/>
  <c r="D44" i="9"/>
  <c r="D40" i="9" s="1"/>
  <c r="P43" i="9"/>
  <c r="P42" i="9"/>
  <c r="P41" i="9"/>
  <c r="O40" i="9"/>
  <c r="N40" i="9"/>
  <c r="M40" i="9"/>
  <c r="L40" i="9"/>
  <c r="K40" i="9"/>
  <c r="J40" i="9"/>
  <c r="I40" i="9"/>
  <c r="I39" i="9" s="1"/>
  <c r="H40" i="9"/>
  <c r="O39" i="9"/>
  <c r="M39" i="9"/>
  <c r="P38" i="9"/>
  <c r="C38" i="9"/>
  <c r="P37" i="9"/>
  <c r="P36" i="9"/>
  <c r="G35" i="9"/>
  <c r="F35" i="9"/>
  <c r="E35" i="9"/>
  <c r="D35" i="9"/>
  <c r="P34" i="9"/>
  <c r="G32" i="9"/>
  <c r="F32" i="9"/>
  <c r="E32" i="9"/>
  <c r="D32" i="9"/>
  <c r="O31" i="9"/>
  <c r="N31" i="9"/>
  <c r="M31" i="9"/>
  <c r="L31" i="9"/>
  <c r="K31" i="9"/>
  <c r="J31" i="9"/>
  <c r="I31" i="9"/>
  <c r="H31" i="9"/>
  <c r="P30" i="9"/>
  <c r="C30" i="9"/>
  <c r="P29" i="9"/>
  <c r="P28" i="9"/>
  <c r="G27" i="9"/>
  <c r="G25" i="9" s="1"/>
  <c r="F27" i="9"/>
  <c r="E27" i="9"/>
  <c r="E25" i="9" s="1"/>
  <c r="D27" i="9"/>
  <c r="F26" i="9"/>
  <c r="F25" i="9" s="1"/>
  <c r="E26" i="9"/>
  <c r="D26" i="9"/>
  <c r="O25" i="9"/>
  <c r="N25" i="9"/>
  <c r="N24" i="9" s="1"/>
  <c r="M25" i="9"/>
  <c r="L25" i="9"/>
  <c r="K25" i="9"/>
  <c r="J25" i="9"/>
  <c r="J24" i="9" s="1"/>
  <c r="I25" i="9"/>
  <c r="H25" i="9"/>
  <c r="D25" i="9"/>
  <c r="H24" i="9"/>
  <c r="P23" i="9"/>
  <c r="C23" i="9"/>
  <c r="G22" i="9"/>
  <c r="G17" i="9" s="1"/>
  <c r="F22" i="9"/>
  <c r="E22" i="9"/>
  <c r="D22" i="9"/>
  <c r="P21" i="9"/>
  <c r="P20" i="9"/>
  <c r="F18" i="9"/>
  <c r="E18" i="9"/>
  <c r="E17" i="9" s="1"/>
  <c r="D18" i="9"/>
  <c r="O17" i="9"/>
  <c r="N17" i="9"/>
  <c r="M17" i="9"/>
  <c r="L17" i="9"/>
  <c r="K17" i="9"/>
  <c r="J17" i="9"/>
  <c r="I17" i="9"/>
  <c r="H17" i="9"/>
  <c r="P16" i="9"/>
  <c r="C16" i="9"/>
  <c r="P15" i="9"/>
  <c r="P14" i="9"/>
  <c r="P13" i="9"/>
  <c r="P12" i="9"/>
  <c r="P11" i="9"/>
  <c r="G10" i="9"/>
  <c r="G7" i="9" s="1"/>
  <c r="F10" i="9"/>
  <c r="F7" i="9" s="1"/>
  <c r="E10" i="9"/>
  <c r="D10" i="9"/>
  <c r="P9" i="9"/>
  <c r="P8" i="9"/>
  <c r="O7" i="9"/>
  <c r="N7" i="9"/>
  <c r="M7" i="9"/>
  <c r="L7" i="9"/>
  <c r="L6" i="9" s="1"/>
  <c r="K7" i="9"/>
  <c r="J7" i="9"/>
  <c r="J6" i="9" s="1"/>
  <c r="I7" i="9"/>
  <c r="H7" i="9"/>
  <c r="H6" i="9" s="1"/>
  <c r="E7" i="9"/>
  <c r="D7" i="9"/>
  <c r="N6" i="9"/>
  <c r="I24" i="9" l="1"/>
  <c r="M24" i="9"/>
  <c r="E31" i="9"/>
  <c r="D46" i="9"/>
  <c r="H55" i="9"/>
  <c r="L55" i="9"/>
  <c r="P63" i="9"/>
  <c r="E76" i="9"/>
  <c r="E69" i="9" s="1"/>
  <c r="F128" i="9"/>
  <c r="N128" i="9"/>
  <c r="N39" i="9"/>
  <c r="E145" i="9"/>
  <c r="K6" i="9"/>
  <c r="O6" i="9"/>
  <c r="K24" i="9"/>
  <c r="O24" i="9"/>
  <c r="K39" i="9"/>
  <c r="L24" i="9"/>
  <c r="D76" i="9"/>
  <c r="D69" i="9" s="1"/>
  <c r="P69" i="9" s="1"/>
  <c r="E46" i="9"/>
  <c r="E39" i="9" s="1"/>
  <c r="M6" i="9"/>
  <c r="D17" i="9"/>
  <c r="P35" i="9"/>
  <c r="I6" i="9"/>
  <c r="P58" i="9"/>
  <c r="H69" i="9"/>
  <c r="L69" i="9"/>
  <c r="H39" i="9"/>
  <c r="L39" i="9"/>
  <c r="G46" i="9"/>
  <c r="J55" i="9"/>
  <c r="N55" i="9"/>
  <c r="F69" i="9"/>
  <c r="P92" i="9"/>
  <c r="P109" i="9"/>
  <c r="I113" i="9"/>
  <c r="M113" i="9"/>
  <c r="E129" i="9"/>
  <c r="E128" i="9" s="1"/>
  <c r="D129" i="9"/>
  <c r="J69" i="9"/>
  <c r="N69" i="9"/>
  <c r="P76" i="9"/>
  <c r="K113" i="9"/>
  <c r="O113" i="9"/>
  <c r="J144" i="9"/>
  <c r="N144" i="9"/>
  <c r="P129" i="9"/>
  <c r="Q85" i="9"/>
  <c r="R85" i="9" s="1"/>
  <c r="G84" i="9"/>
  <c r="D31" i="9"/>
  <c r="P47" i="9"/>
  <c r="P77" i="9"/>
  <c r="P85" i="9"/>
  <c r="P115" i="9"/>
  <c r="D136" i="9"/>
  <c r="P136" i="9" s="1"/>
  <c r="P137" i="9"/>
  <c r="P153" i="9"/>
  <c r="P99" i="9"/>
  <c r="P25" i="9"/>
  <c r="P26" i="9"/>
  <c r="P46" i="9"/>
  <c r="P18" i="9"/>
  <c r="D56" i="9"/>
  <c r="D62" i="9"/>
  <c r="D55" i="9" s="1"/>
  <c r="G55" i="9"/>
  <c r="P150" i="9"/>
  <c r="P156" i="9"/>
  <c r="P22" i="9"/>
  <c r="P44" i="9"/>
  <c r="F39" i="9"/>
  <c r="P74" i="9"/>
  <c r="P80" i="9"/>
  <c r="P106" i="9"/>
  <c r="P121" i="9"/>
  <c r="P123" i="9"/>
  <c r="P124" i="9"/>
  <c r="P131" i="9"/>
  <c r="G31" i="9"/>
  <c r="G24" i="9" s="1"/>
  <c r="G98" i="9"/>
  <c r="G120" i="9"/>
  <c r="G113" i="9" s="1"/>
  <c r="P27" i="9"/>
  <c r="P40" i="9"/>
  <c r="G39" i="9"/>
  <c r="P70" i="9"/>
  <c r="P89" i="9"/>
  <c r="P101" i="9"/>
  <c r="P103" i="9"/>
  <c r="P134" i="9"/>
  <c r="P145" i="9"/>
  <c r="E152" i="9"/>
  <c r="E144" i="9" s="1"/>
  <c r="P10" i="9"/>
  <c r="E24" i="9"/>
  <c r="P147" i="9"/>
  <c r="F17" i="9"/>
  <c r="F6" i="9" s="1"/>
  <c r="F62" i="9"/>
  <c r="F55" i="9" s="1"/>
  <c r="E105" i="9"/>
  <c r="E98" i="9" s="1"/>
  <c r="E120" i="9"/>
  <c r="E113" i="9" s="1"/>
  <c r="F152" i="9"/>
  <c r="F144" i="9" s="1"/>
  <c r="P32" i="9"/>
  <c r="P49" i="9"/>
  <c r="P50" i="9"/>
  <c r="P56" i="9"/>
  <c r="E84" i="9"/>
  <c r="F31" i="9"/>
  <c r="F24" i="9" s="1"/>
  <c r="E62" i="9"/>
  <c r="E55" i="9" s="1"/>
  <c r="F105" i="9"/>
  <c r="F98" i="9" s="1"/>
  <c r="P122" i="9"/>
  <c r="G152" i="9"/>
  <c r="G144" i="9" s="1"/>
  <c r="E6" i="9"/>
  <c r="G6" i="9"/>
  <c r="P114" i="9"/>
  <c r="P154" i="9"/>
  <c r="D144" i="9"/>
  <c r="F120" i="9"/>
  <c r="F113" i="9" s="1"/>
  <c r="D113" i="9"/>
  <c r="P107" i="9"/>
  <c r="D105" i="9"/>
  <c r="P93" i="9"/>
  <c r="D91" i="9"/>
  <c r="D84" i="9" s="1"/>
  <c r="P64" i="9"/>
  <c r="P62" i="9"/>
  <c r="D39" i="9"/>
  <c r="P33" i="9"/>
  <c r="D24" i="9"/>
  <c r="P17" i="9"/>
  <c r="P19" i="9"/>
  <c r="D6" i="9"/>
  <c r="F131" i="8"/>
  <c r="F129" i="8" s="1"/>
  <c r="E131" i="8"/>
  <c r="D131" i="8"/>
  <c r="F115" i="8"/>
  <c r="F114" i="8" s="1"/>
  <c r="E115" i="8"/>
  <c r="D115" i="8"/>
  <c r="D114" i="8" s="1"/>
  <c r="F105" i="8"/>
  <c r="E105" i="8"/>
  <c r="F101" i="8"/>
  <c r="F99" i="8" s="1"/>
  <c r="E101" i="8"/>
  <c r="E99" i="8" s="1"/>
  <c r="D101" i="8"/>
  <c r="F58" i="8"/>
  <c r="E58" i="8"/>
  <c r="D58" i="8"/>
  <c r="G27" i="8"/>
  <c r="G25" i="8" s="1"/>
  <c r="F27" i="8"/>
  <c r="E27" i="8"/>
  <c r="D27" i="8"/>
  <c r="F26" i="8"/>
  <c r="E26" i="8"/>
  <c r="D26" i="8"/>
  <c r="P159" i="8"/>
  <c r="C159" i="8"/>
  <c r="P158" i="8"/>
  <c r="P157" i="8"/>
  <c r="P156" i="8"/>
  <c r="P155" i="8"/>
  <c r="P154" i="8"/>
  <c r="P153" i="8"/>
  <c r="O152" i="8"/>
  <c r="N152" i="8"/>
  <c r="M152" i="8"/>
  <c r="L152" i="8"/>
  <c r="K152" i="8"/>
  <c r="J152" i="8"/>
  <c r="I152" i="8"/>
  <c r="H152" i="8"/>
  <c r="F152" i="8"/>
  <c r="E152" i="8"/>
  <c r="D152" i="8"/>
  <c r="P151" i="8"/>
  <c r="C151" i="8"/>
  <c r="P150" i="8"/>
  <c r="P149" i="8"/>
  <c r="P148" i="8"/>
  <c r="P147" i="8"/>
  <c r="P146" i="8"/>
  <c r="O145" i="8"/>
  <c r="N145" i="8"/>
  <c r="M145" i="8"/>
  <c r="M144" i="8" s="1"/>
  <c r="L145" i="8"/>
  <c r="K145" i="8"/>
  <c r="J145" i="8"/>
  <c r="I145" i="8"/>
  <c r="H145" i="8"/>
  <c r="G145" i="8"/>
  <c r="F145" i="8"/>
  <c r="E145" i="8"/>
  <c r="D145" i="8"/>
  <c r="O144" i="8"/>
  <c r="P143" i="8"/>
  <c r="C143" i="8"/>
  <c r="P142" i="8"/>
  <c r="P141" i="8"/>
  <c r="P140" i="8"/>
  <c r="P139" i="8"/>
  <c r="P138" i="8"/>
  <c r="P137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P135" i="8"/>
  <c r="C135" i="8"/>
  <c r="P134" i="8"/>
  <c r="P133" i="8"/>
  <c r="P132" i="8"/>
  <c r="P130" i="8"/>
  <c r="O129" i="8"/>
  <c r="N129" i="8"/>
  <c r="N128" i="8" s="1"/>
  <c r="M129" i="8"/>
  <c r="M128" i="8" s="1"/>
  <c r="L129" i="8"/>
  <c r="K129" i="8"/>
  <c r="J129" i="8"/>
  <c r="J128" i="8" s="1"/>
  <c r="I129" i="8"/>
  <c r="H129" i="8"/>
  <c r="G129" i="8"/>
  <c r="E129" i="8"/>
  <c r="E128" i="8" s="1"/>
  <c r="I128" i="8"/>
  <c r="P127" i="8"/>
  <c r="C127" i="8"/>
  <c r="P126" i="8"/>
  <c r="P125" i="8"/>
  <c r="P124" i="8"/>
  <c r="P123" i="8"/>
  <c r="P122" i="8"/>
  <c r="E120" i="8"/>
  <c r="P121" i="8"/>
  <c r="O120" i="8"/>
  <c r="N120" i="8"/>
  <c r="M120" i="8"/>
  <c r="L120" i="8"/>
  <c r="K120" i="8"/>
  <c r="J120" i="8"/>
  <c r="I120" i="8"/>
  <c r="H120" i="8"/>
  <c r="G120" i="8"/>
  <c r="F120" i="8"/>
  <c r="D120" i="8"/>
  <c r="P119" i="8"/>
  <c r="C119" i="8"/>
  <c r="P118" i="8"/>
  <c r="P117" i="8"/>
  <c r="P116" i="8"/>
  <c r="O114" i="8"/>
  <c r="O113" i="8" s="1"/>
  <c r="N114" i="8"/>
  <c r="N113" i="8" s="1"/>
  <c r="M114" i="8"/>
  <c r="M113" i="8" s="1"/>
  <c r="L114" i="8"/>
  <c r="K114" i="8"/>
  <c r="K113" i="8" s="1"/>
  <c r="J114" i="8"/>
  <c r="J113" i="8" s="1"/>
  <c r="I114" i="8"/>
  <c r="I113" i="8" s="1"/>
  <c r="H114" i="8"/>
  <c r="H113" i="8" s="1"/>
  <c r="G114" i="8"/>
  <c r="G113" i="8" s="1"/>
  <c r="E114" i="8"/>
  <c r="L113" i="8"/>
  <c r="P112" i="8"/>
  <c r="C112" i="8"/>
  <c r="P110" i="8"/>
  <c r="P109" i="8"/>
  <c r="P108" i="8"/>
  <c r="P107" i="8"/>
  <c r="P106" i="8"/>
  <c r="J105" i="8"/>
  <c r="G105" i="8"/>
  <c r="D105" i="8"/>
  <c r="P104" i="8"/>
  <c r="C104" i="8"/>
  <c r="P103" i="8"/>
  <c r="P102" i="8"/>
  <c r="P100" i="8"/>
  <c r="O99" i="8"/>
  <c r="N99" i="8"/>
  <c r="N98" i="8" s="1"/>
  <c r="M99" i="8"/>
  <c r="M98" i="8" s="1"/>
  <c r="L99" i="8"/>
  <c r="L98" i="8" s="1"/>
  <c r="K99" i="8"/>
  <c r="K98" i="8" s="1"/>
  <c r="J99" i="8"/>
  <c r="I99" i="8"/>
  <c r="I98" i="8" s="1"/>
  <c r="H99" i="8"/>
  <c r="H98" i="8" s="1"/>
  <c r="O98" i="8"/>
  <c r="P97" i="8"/>
  <c r="C97" i="8"/>
  <c r="P96" i="8"/>
  <c r="P95" i="8"/>
  <c r="P94" i="8"/>
  <c r="P93" i="8"/>
  <c r="P92" i="8"/>
  <c r="O91" i="8"/>
  <c r="N91" i="8"/>
  <c r="M91" i="8"/>
  <c r="L91" i="8"/>
  <c r="K91" i="8"/>
  <c r="J91" i="8"/>
  <c r="I91" i="8"/>
  <c r="H91" i="8"/>
  <c r="G91" i="8"/>
  <c r="F91" i="8"/>
  <c r="E91" i="8"/>
  <c r="D91" i="8"/>
  <c r="P90" i="8"/>
  <c r="C90" i="8"/>
  <c r="P89" i="8"/>
  <c r="P88" i="8"/>
  <c r="P87" i="8"/>
  <c r="P86" i="8"/>
  <c r="O85" i="8"/>
  <c r="N85" i="8"/>
  <c r="N84" i="8" s="1"/>
  <c r="M85" i="8"/>
  <c r="M84" i="8" s="1"/>
  <c r="L85" i="8"/>
  <c r="K85" i="8"/>
  <c r="J85" i="8"/>
  <c r="J84" i="8" s="1"/>
  <c r="I85" i="8"/>
  <c r="I84" i="8" s="1"/>
  <c r="H85" i="8"/>
  <c r="G85" i="8"/>
  <c r="Q85" i="8" s="1"/>
  <c r="R85" i="8" s="1"/>
  <c r="F85" i="8"/>
  <c r="F84" i="8" s="1"/>
  <c r="E85" i="8"/>
  <c r="E84" i="8" s="1"/>
  <c r="D85" i="8"/>
  <c r="P83" i="8"/>
  <c r="C83" i="8"/>
  <c r="P82" i="8"/>
  <c r="P81" i="8"/>
  <c r="P80" i="8"/>
  <c r="P79" i="8"/>
  <c r="P78" i="8"/>
  <c r="P77" i="8"/>
  <c r="O76" i="8"/>
  <c r="N76" i="8"/>
  <c r="M76" i="8"/>
  <c r="L76" i="8"/>
  <c r="K76" i="8"/>
  <c r="J76" i="8"/>
  <c r="I76" i="8"/>
  <c r="H76" i="8"/>
  <c r="G76" i="8"/>
  <c r="F76" i="8"/>
  <c r="E76" i="8"/>
  <c r="D76" i="8"/>
  <c r="P75" i="8"/>
  <c r="P74" i="8"/>
  <c r="P73" i="8"/>
  <c r="P72" i="8"/>
  <c r="P71" i="8"/>
  <c r="O70" i="8"/>
  <c r="O69" i="8" s="1"/>
  <c r="N70" i="8"/>
  <c r="M70" i="8"/>
  <c r="L70" i="8"/>
  <c r="L69" i="8" s="1"/>
  <c r="K70" i="8"/>
  <c r="K69" i="8" s="1"/>
  <c r="J70" i="8"/>
  <c r="I70" i="8"/>
  <c r="H70" i="8"/>
  <c r="H69" i="8" s="1"/>
  <c r="G70" i="8"/>
  <c r="G69" i="8" s="1"/>
  <c r="F70" i="8"/>
  <c r="E70" i="8"/>
  <c r="D70" i="8"/>
  <c r="N69" i="8"/>
  <c r="P68" i="8"/>
  <c r="C68" i="8"/>
  <c r="P67" i="8"/>
  <c r="P66" i="8"/>
  <c r="P65" i="8"/>
  <c r="P64" i="8"/>
  <c r="P63" i="8"/>
  <c r="O62" i="8"/>
  <c r="N62" i="8"/>
  <c r="M62" i="8"/>
  <c r="L62" i="8"/>
  <c r="K62" i="8"/>
  <c r="J62" i="8"/>
  <c r="I62" i="8"/>
  <c r="H62" i="8"/>
  <c r="G62" i="8"/>
  <c r="F62" i="8"/>
  <c r="E62" i="8"/>
  <c r="D62" i="8"/>
  <c r="P61" i="8"/>
  <c r="C61" i="8"/>
  <c r="P60" i="8"/>
  <c r="P59" i="8"/>
  <c r="P57" i="8"/>
  <c r="O56" i="8"/>
  <c r="N56" i="8"/>
  <c r="M56" i="8"/>
  <c r="L56" i="8"/>
  <c r="K56" i="8"/>
  <c r="J56" i="8"/>
  <c r="J55" i="8" s="1"/>
  <c r="I56" i="8"/>
  <c r="H56" i="8"/>
  <c r="G56" i="8"/>
  <c r="F56" i="8"/>
  <c r="D56" i="8"/>
  <c r="P54" i="8"/>
  <c r="P53" i="8"/>
  <c r="C53" i="8"/>
  <c r="P52" i="8"/>
  <c r="P51" i="8"/>
  <c r="P50" i="8"/>
  <c r="P49" i="8"/>
  <c r="P48" i="8"/>
  <c r="P47" i="8"/>
  <c r="O46" i="8"/>
  <c r="N46" i="8"/>
  <c r="M46" i="8"/>
  <c r="L46" i="8"/>
  <c r="K46" i="8"/>
  <c r="J46" i="8"/>
  <c r="I46" i="8"/>
  <c r="H46" i="8"/>
  <c r="G46" i="8"/>
  <c r="F46" i="8"/>
  <c r="E46" i="8"/>
  <c r="D46" i="8"/>
  <c r="P45" i="8"/>
  <c r="C45" i="8"/>
  <c r="P44" i="8"/>
  <c r="P43" i="8"/>
  <c r="P42" i="8"/>
  <c r="P41" i="8"/>
  <c r="O40" i="8"/>
  <c r="N40" i="8"/>
  <c r="M40" i="8"/>
  <c r="L40" i="8"/>
  <c r="K40" i="8"/>
  <c r="J40" i="8"/>
  <c r="J39" i="8" s="1"/>
  <c r="I40" i="8"/>
  <c r="H40" i="8"/>
  <c r="G40" i="8"/>
  <c r="F40" i="8"/>
  <c r="E40" i="8"/>
  <c r="D40" i="8"/>
  <c r="H39" i="8"/>
  <c r="P38" i="8"/>
  <c r="C38" i="8"/>
  <c r="P37" i="8"/>
  <c r="P36" i="8"/>
  <c r="P35" i="8"/>
  <c r="P34" i="8"/>
  <c r="P33" i="8"/>
  <c r="P32" i="8"/>
  <c r="O31" i="8"/>
  <c r="N31" i="8"/>
  <c r="M31" i="8"/>
  <c r="L31" i="8"/>
  <c r="K31" i="8"/>
  <c r="J31" i="8"/>
  <c r="I31" i="8"/>
  <c r="H31" i="8"/>
  <c r="G31" i="8"/>
  <c r="F31" i="8"/>
  <c r="E31" i="8"/>
  <c r="D31" i="8"/>
  <c r="P30" i="8"/>
  <c r="C30" i="8"/>
  <c r="P29" i="8"/>
  <c r="P28" i="8"/>
  <c r="O25" i="8"/>
  <c r="N25" i="8"/>
  <c r="N24" i="8" s="1"/>
  <c r="M25" i="8"/>
  <c r="L25" i="8"/>
  <c r="K25" i="8"/>
  <c r="K24" i="8" s="1"/>
  <c r="J25" i="8"/>
  <c r="J24" i="8" s="1"/>
  <c r="I25" i="8"/>
  <c r="H25" i="8"/>
  <c r="F25" i="8"/>
  <c r="F24" i="8" s="1"/>
  <c r="O24" i="8"/>
  <c r="P23" i="8"/>
  <c r="C23" i="8"/>
  <c r="P22" i="8"/>
  <c r="P21" i="8"/>
  <c r="P20" i="8"/>
  <c r="P19" i="8"/>
  <c r="P18" i="8"/>
  <c r="O17" i="8"/>
  <c r="N17" i="8"/>
  <c r="M17" i="8"/>
  <c r="L17" i="8"/>
  <c r="K17" i="8"/>
  <c r="J17" i="8"/>
  <c r="I17" i="8"/>
  <c r="H17" i="8"/>
  <c r="G17" i="8"/>
  <c r="F17" i="8"/>
  <c r="E17" i="8"/>
  <c r="D17" i="8"/>
  <c r="P16" i="8"/>
  <c r="C16" i="8"/>
  <c r="P15" i="8"/>
  <c r="P14" i="8"/>
  <c r="P13" i="8"/>
  <c r="P12" i="8"/>
  <c r="P11" i="8"/>
  <c r="P10" i="8"/>
  <c r="P9" i="8"/>
  <c r="P8" i="8"/>
  <c r="O7" i="8"/>
  <c r="N7" i="8"/>
  <c r="M7" i="8"/>
  <c r="M6" i="8" s="1"/>
  <c r="L7" i="8"/>
  <c r="L6" i="8" s="1"/>
  <c r="K7" i="8"/>
  <c r="J7" i="8"/>
  <c r="I7" i="8"/>
  <c r="I6" i="8" s="1"/>
  <c r="H7" i="8"/>
  <c r="H6" i="8" s="1"/>
  <c r="G7" i="8"/>
  <c r="F7" i="8"/>
  <c r="E7" i="8"/>
  <c r="E6" i="8" s="1"/>
  <c r="D7" i="8"/>
  <c r="P27" i="8" l="1"/>
  <c r="P58" i="8"/>
  <c r="K144" i="8"/>
  <c r="I69" i="8"/>
  <c r="M69" i="8"/>
  <c r="P39" i="9"/>
  <c r="H55" i="8"/>
  <c r="H144" i="8"/>
  <c r="L144" i="8"/>
  <c r="F128" i="8"/>
  <c r="P24" i="9"/>
  <c r="I144" i="8"/>
  <c r="P31" i="9"/>
  <c r="P55" i="9"/>
  <c r="L39" i="8"/>
  <c r="D55" i="8"/>
  <c r="L55" i="8"/>
  <c r="K84" i="8"/>
  <c r="H128" i="8"/>
  <c r="L128" i="8"/>
  <c r="D128" i="9"/>
  <c r="P128" i="9" s="1"/>
  <c r="H24" i="8"/>
  <c r="L24" i="8"/>
  <c r="I39" i="8"/>
  <c r="M39" i="8"/>
  <c r="E56" i="8"/>
  <c r="P56" i="8" s="1"/>
  <c r="I55" i="8"/>
  <c r="M55" i="8"/>
  <c r="P84" i="9"/>
  <c r="N55" i="8"/>
  <c r="J98" i="8"/>
  <c r="K128" i="8"/>
  <c r="O128" i="8"/>
  <c r="F144" i="8"/>
  <c r="P152" i="9"/>
  <c r="J6" i="8"/>
  <c r="N6" i="8"/>
  <c r="K6" i="8"/>
  <c r="O6" i="8"/>
  <c r="I24" i="8"/>
  <c r="M24" i="8"/>
  <c r="J69" i="8"/>
  <c r="F39" i="8"/>
  <c r="N39" i="8"/>
  <c r="G84" i="8"/>
  <c r="O84" i="8"/>
  <c r="J144" i="8"/>
  <c r="N144" i="8"/>
  <c r="P101" i="8"/>
  <c r="D99" i="8"/>
  <c r="F6" i="8"/>
  <c r="G6" i="8"/>
  <c r="P145" i="8"/>
  <c r="E144" i="8"/>
  <c r="P131" i="8"/>
  <c r="P31" i="8"/>
  <c r="K39" i="8"/>
  <c r="O39" i="8"/>
  <c r="K55" i="8"/>
  <c r="O55" i="8"/>
  <c r="F69" i="8"/>
  <c r="P85" i="8"/>
  <c r="H84" i="8"/>
  <c r="L84" i="8"/>
  <c r="D144" i="8"/>
  <c r="G144" i="8"/>
  <c r="P70" i="8"/>
  <c r="P113" i="9"/>
  <c r="P120" i="9"/>
  <c r="P105" i="9"/>
  <c r="D98" i="9"/>
  <c r="P98" i="9" s="1"/>
  <c r="P91" i="9"/>
  <c r="Q91" i="9" s="1"/>
  <c r="R91" i="9" s="1"/>
  <c r="F113" i="8"/>
  <c r="D113" i="8"/>
  <c r="G128" i="8"/>
  <c r="P136" i="8"/>
  <c r="P91" i="8"/>
  <c r="Q91" i="8" s="1"/>
  <c r="R91" i="8" s="1"/>
  <c r="E55" i="8"/>
  <c r="G55" i="8"/>
  <c r="F55" i="8"/>
  <c r="P62" i="8"/>
  <c r="G39" i="8"/>
  <c r="E39" i="8"/>
  <c r="P46" i="8"/>
  <c r="G24" i="8"/>
  <c r="P152" i="8"/>
  <c r="E69" i="8"/>
  <c r="P76" i="8"/>
  <c r="P17" i="8"/>
  <c r="D6" i="8"/>
  <c r="D129" i="8"/>
  <c r="D128" i="8" s="1"/>
  <c r="P128" i="8" s="1"/>
  <c r="P115" i="8"/>
  <c r="P114" i="8"/>
  <c r="F98" i="8"/>
  <c r="P111" i="8"/>
  <c r="E98" i="8"/>
  <c r="G98" i="8"/>
  <c r="P99" i="8"/>
  <c r="P105" i="8"/>
  <c r="D69" i="8"/>
  <c r="P40" i="8"/>
  <c r="D39" i="8"/>
  <c r="P39" i="8" s="1"/>
  <c r="E25" i="8"/>
  <c r="E24" i="8" s="1"/>
  <c r="P26" i="8"/>
  <c r="D25" i="8"/>
  <c r="P120" i="8"/>
  <c r="E113" i="8"/>
  <c r="D84" i="8"/>
  <c r="P84" i="8" s="1"/>
  <c r="D98" i="8"/>
  <c r="P129" i="8" l="1"/>
  <c r="P25" i="8"/>
  <c r="P69" i="8"/>
  <c r="P55" i="8"/>
  <c r="P113" i="8"/>
  <c r="P98" i="8"/>
  <c r="D24" i="8"/>
  <c r="P24" i="8" s="1"/>
  <c r="F62" i="1" l="1"/>
  <c r="F61" i="1" s="1"/>
  <c r="E62" i="1"/>
  <c r="E61" i="1" s="1"/>
</calcChain>
</file>

<file path=xl/sharedStrings.xml><?xml version="1.0" encoding="utf-8"?>
<sst xmlns="http://schemas.openxmlformats.org/spreadsheetml/2006/main" count="864" uniqueCount="273">
  <si>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</si>
  <si>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</si>
  <si>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</si>
  <si>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</si>
  <si>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</si>
  <si>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</si>
  <si>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</si>
  <si>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</si>
  <si>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</si>
  <si>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</si>
  <si>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Чай с сахаром</t>
  </si>
  <si>
    <t>Хлеб пшеничный</t>
  </si>
  <si>
    <t>Макаронные изделия отварные</t>
  </si>
  <si>
    <t>ЭНЕРГЕТИЧЕСКАЯ И ПИЩЕВАЯ ЦЕННОСТЬ ЗА ДЕНЬ</t>
  </si>
  <si>
    <t>Масса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</si>
  <si>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</si>
  <si>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</si>
  <si>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</si>
  <si>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</si>
  <si>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</si>
  <si>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</si>
  <si>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</si>
  <si>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</si>
  <si>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</si>
  <si>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</si>
  <si>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</si>
  <si>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</si>
  <si>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ДЕНЬ 4.</t>
  </si>
  <si>
    <t>ДЕНЬ 5.</t>
  </si>
  <si>
    <t>ДЕНЬ 6.</t>
  </si>
  <si>
    <t>ДЕНЬ 8.</t>
  </si>
  <si>
    <t>ДЕНЬ 9.</t>
  </si>
  <si>
    <t>Пюре картофельное</t>
  </si>
  <si>
    <t>309/17</t>
  </si>
  <si>
    <t>312/17</t>
  </si>
  <si>
    <t>Сыр (порциями)</t>
  </si>
  <si>
    <t>Каша гречневая рассыпчатая</t>
  </si>
  <si>
    <t>Хлеб ржаной</t>
  </si>
  <si>
    <t>302/17</t>
  </si>
  <si>
    <t>223/17</t>
  </si>
  <si>
    <t>247/06</t>
  </si>
  <si>
    <t>Яблоко</t>
  </si>
  <si>
    <t>394/16</t>
  </si>
  <si>
    <t>260/17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</si>
  <si>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</si>
  <si>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</si>
  <si>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</si>
  <si>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</si>
  <si>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</si>
  <si>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</si>
  <si>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</si>
  <si>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</si>
  <si>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</si>
  <si>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</si>
  <si>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</si>
  <si>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</si>
  <si>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</si>
  <si>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</si>
  <si>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</si>
  <si>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</si>
  <si>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</si>
  <si>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порции, г</t>
  </si>
  <si>
    <t>Печенье</t>
  </si>
  <si>
    <t>ДЕНЬ 10.</t>
  </si>
  <si>
    <t>ДЕНЬ 7. ЭНЕРГЕТИЧЕСКАЯ И ПИЩЕВАЯ ЦЕННОСТЬ ЗА ДЕНЬ</t>
  </si>
  <si>
    <t>Гуляш из птицы (грудка)</t>
  </si>
  <si>
    <t>ЗАВТРАК</t>
  </si>
  <si>
    <t>ОБЕД</t>
  </si>
  <si>
    <t>52/17</t>
  </si>
  <si>
    <t>Салат из свеклы</t>
  </si>
  <si>
    <t>0,11</t>
  </si>
  <si>
    <t>16,79</t>
  </si>
  <si>
    <t>25,90</t>
  </si>
  <si>
    <t>68,13</t>
  </si>
  <si>
    <t>23,75</t>
  </si>
  <si>
    <t>Минеральные вещества (мг)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</si>
  <si>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</si>
  <si>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</si>
  <si>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</si>
  <si>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</si>
  <si>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</si>
  <si>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</si>
  <si>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</si>
  <si>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</si>
  <si>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0,05</t>
  </si>
  <si>
    <t>1,50</t>
  </si>
  <si>
    <t>13,87</t>
  </si>
  <si>
    <t>27,46</t>
  </si>
  <si>
    <t>8,19</t>
  </si>
  <si>
    <t>0,51</t>
  </si>
  <si>
    <t>Напиток апельсиновый</t>
  </si>
  <si>
    <t>0,01</t>
  </si>
  <si>
    <t>9,00</t>
  </si>
  <si>
    <t>5,82</t>
  </si>
  <si>
    <t>0,12</t>
  </si>
  <si>
    <t>0,08</t>
  </si>
  <si>
    <t>30,30</t>
  </si>
  <si>
    <t>41,80</t>
  </si>
  <si>
    <t>44,28</t>
  </si>
  <si>
    <t>20,10</t>
  </si>
  <si>
    <t>0,76</t>
  </si>
  <si>
    <t>102/17</t>
  </si>
  <si>
    <t>11,50</t>
  </si>
  <si>
    <t>40,80</t>
  </si>
  <si>
    <t>40,38</t>
  </si>
  <si>
    <t>16,70</t>
  </si>
  <si>
    <t>1,78</t>
  </si>
  <si>
    <t>16,50</t>
  </si>
  <si>
    <t>22,75</t>
  </si>
  <si>
    <t>97,35</t>
  </si>
  <si>
    <t>31,20</t>
  </si>
  <si>
    <t>1,02</t>
  </si>
  <si>
    <t>0,40</t>
  </si>
  <si>
    <t>7,54</t>
  </si>
  <si>
    <t>6,72</t>
  </si>
  <si>
    <t>1,36</t>
  </si>
  <si>
    <t>1,28</t>
  </si>
  <si>
    <t>82/17</t>
  </si>
  <si>
    <t>0,07</t>
  </si>
  <si>
    <t>19,32</t>
  </si>
  <si>
    <t>42,23</t>
  </si>
  <si>
    <t>31,76</t>
  </si>
  <si>
    <t>13,48</t>
  </si>
  <si>
    <t>1,14</t>
  </si>
  <si>
    <t>103/17</t>
  </si>
  <si>
    <t>0,13</t>
  </si>
  <si>
    <t>15,20</t>
  </si>
  <si>
    <t>63,45</t>
  </si>
  <si>
    <t>24,05</t>
  </si>
  <si>
    <t>0,83</t>
  </si>
  <si>
    <t>98/17</t>
  </si>
  <si>
    <t>295/17</t>
  </si>
  <si>
    <t>143/17</t>
  </si>
  <si>
    <t>Рагу из овощей</t>
  </si>
  <si>
    <t>54/21</t>
  </si>
  <si>
    <t>Масло сливочное (порциями)</t>
  </si>
  <si>
    <t>Салат из белокочанной капусты</t>
  </si>
  <si>
    <t>Плов из филе птицы</t>
  </si>
  <si>
    <t>Голубцы ленивые</t>
  </si>
  <si>
    <t>54-283/23</t>
  </si>
  <si>
    <t>Свекла отварная дольками</t>
  </si>
  <si>
    <t>Котлеты из мяса птицы</t>
  </si>
  <si>
    <t>Салат из моркови с сахаром</t>
  </si>
  <si>
    <t>Азу из мяса птицы по домашнему</t>
  </si>
  <si>
    <t xml:space="preserve">"Чикенболлы" в соусе </t>
  </si>
  <si>
    <t>Винегрет овощной</t>
  </si>
  <si>
    <t>182/15</t>
  </si>
  <si>
    <t>Ежики в соусе</t>
  </si>
  <si>
    <t>Гороховое пюре</t>
  </si>
  <si>
    <t>Бигус с птицей</t>
  </si>
  <si>
    <t>Рис отварной</t>
  </si>
  <si>
    <t>Напиток каркаде с сахаром</t>
  </si>
  <si>
    <t>Тефтели мясные с соусом</t>
  </si>
  <si>
    <t>303/14</t>
  </si>
  <si>
    <t>Каша перловая вязкая</t>
  </si>
  <si>
    <t>Яйцо вареное</t>
  </si>
  <si>
    <t>Запеканка из творога с джемом</t>
  </si>
  <si>
    <t>Рыба, запеченная в омлете</t>
  </si>
  <si>
    <t>Соус томатный</t>
  </si>
  <si>
    <t xml:space="preserve">Суп картофельный с рисовой крупой </t>
  </si>
  <si>
    <t xml:space="preserve">Суп картофельный с макаронными изделиями </t>
  </si>
  <si>
    <t>14/17</t>
  </si>
  <si>
    <t>182/17</t>
  </si>
  <si>
    <t>15/17</t>
  </si>
  <si>
    <t>411/16</t>
  </si>
  <si>
    <t>414/16</t>
  </si>
  <si>
    <t>113/17</t>
  </si>
  <si>
    <t>101/17</t>
  </si>
  <si>
    <t>99/17</t>
  </si>
  <si>
    <t>35/06</t>
  </si>
  <si>
    <t>291/17</t>
  </si>
  <si>
    <t>304/17</t>
  </si>
  <si>
    <t>71/04</t>
  </si>
  <si>
    <t>238/06</t>
  </si>
  <si>
    <t>45/17</t>
  </si>
  <si>
    <t>62/17</t>
  </si>
  <si>
    <t>346/17</t>
  </si>
  <si>
    <t>Завтрак и обед</t>
  </si>
  <si>
    <t>Сдоба обыкновенная</t>
  </si>
  <si>
    <t>Макароны запеченные с сыром</t>
  </si>
  <si>
    <t>766/04</t>
  </si>
  <si>
    <t>334/04</t>
  </si>
  <si>
    <t>Тефтели "Крепыш" в соусе</t>
  </si>
  <si>
    <t>Каша молочная 5 злаков (жидкая) с маслом сливочным</t>
  </si>
  <si>
    <t>Каша молочная геркулесовая (жидкая) с маслом сливочным</t>
  </si>
  <si>
    <t>Каша молочная манная (жидкая) с маслом сливочным</t>
  </si>
  <si>
    <t>Каша молочная ячневая (жидкая) с маслом сливочным</t>
  </si>
  <si>
    <t>Каша молочная пшенная (жидкая) с маслом сливочным</t>
  </si>
  <si>
    <t>Каша молочная "Дружба" (жидкая) с маслом сливочным</t>
  </si>
  <si>
    <t xml:space="preserve">Суп - лапша домашняя </t>
  </si>
  <si>
    <t xml:space="preserve">Борщ с капустой и картофелем </t>
  </si>
  <si>
    <t xml:space="preserve">Суп из овощей </t>
  </si>
  <si>
    <t xml:space="preserve">Свекольник </t>
  </si>
  <si>
    <t xml:space="preserve">Суп крестьянский с крупой </t>
  </si>
  <si>
    <t>Суп картофельный с бобовыми</t>
  </si>
  <si>
    <t>меню на 139-29 руб (с 5 по 11 классы)</t>
  </si>
  <si>
    <t>меню на 127-49  руб (с 1 по 4 классы)</t>
  </si>
  <si>
    <t>12-18 лет коррекционные школы</t>
  </si>
  <si>
    <t>7-11 лет коррекционные школы</t>
  </si>
  <si>
    <t>Борщ с капустой и картофелем</t>
  </si>
  <si>
    <t>Суп - лапша домашняя</t>
  </si>
  <si>
    <t>Суп крестьянский с крупой</t>
  </si>
  <si>
    <t>Компот из смеси сухофруктов</t>
  </si>
  <si>
    <t>Компот из плодов или ягод сушенных (изюм)</t>
  </si>
  <si>
    <t>Кисель из концентрата плодового или ягодного</t>
  </si>
  <si>
    <t>182/06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</si>
  <si>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</si>
  <si>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</si>
  <si>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</si>
  <si>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</si>
  <si>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</si>
  <si>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</si>
  <si>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</si>
  <si>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</si>
  <si>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</si>
  <si>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</si>
  <si>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</si>
  <si>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</si>
  <si>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</si>
  <si>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Гуляш из мяса</t>
  </si>
  <si>
    <t>265/17</t>
  </si>
  <si>
    <t>Плов из мяса</t>
  </si>
  <si>
    <t>278/17</t>
  </si>
  <si>
    <t>259/17</t>
  </si>
  <si>
    <t>Жаркое по-домашнему</t>
  </si>
  <si>
    <t>Каша гречневая вязкая</t>
  </si>
  <si>
    <t>303/17</t>
  </si>
  <si>
    <t>Компот из изюма, витамин С</t>
  </si>
  <si>
    <t>348/17</t>
  </si>
  <si>
    <t>Рыба, тушенная с овощами</t>
  </si>
  <si>
    <t>229/17</t>
  </si>
  <si>
    <t>Компот из смеси сухофруктов,         витамин С</t>
  </si>
  <si>
    <t>ДЕНЬ 11. ЭНЕРГЕТИЧЕСКАЯ И ПИЩЕВАЯ ЦЕННОСТЬ ЗА ДЕНЬ</t>
  </si>
  <si>
    <t>ДЕНЬ 12. ЭНЕРГЕТИЧЕСКАЯ И ПИЩЕВАЯ ЦЕННОСТЬ ЗА ДЕНЬ</t>
  </si>
  <si>
    <t>ДЕНЬ 13. ЭНЕРГЕТИЧЕСКАЯ И ПИЩЕВАЯ ЦЕННОСТЬ ЗА ДЕНЬ</t>
  </si>
  <si>
    <t>ДЕНЬ 14. ЭНЕРГЕТИЧЕСКАЯ И ПИЩЕВАЯ ЦЕННОСТЬ ЗА ДЕНЬ</t>
  </si>
  <si>
    <t>ДЕНЬ 15. ЭНЕРГЕТИЧЕСКАЯ И ПИЩЕВАЯ ЦЕННОСТЬ ЗА ДЕНЬ</t>
  </si>
  <si>
    <t>ДЕНЬ 16. ЭНЕРГЕТИЧЕСКАЯ И ПИЩЕВАЯ ЦЕННОСТЬ ЗА ДЕНЬ</t>
  </si>
  <si>
    <t>ДЕНЬ 17. ЭНЕРГЕТИЧЕСКАЯ И ПИЩЕВАЯ ЦЕННОСТЬ ЗА ДЕНЬ</t>
  </si>
  <si>
    <t>ДЕНЬ 18. ЭНЕРГЕТИЧЕСКАЯ И ПИЩЕВАЯ ЦЕННОСТЬ ЗА ДЕНЬ</t>
  </si>
  <si>
    <t>ДЕНЬ 19. ЭНЕРГЕТИЧЕСКАЯ И ПИЩЕВАЯ ЦЕННОСТЬ ЗА ДЕНЬ</t>
  </si>
  <si>
    <t>ДЕНЬ 20. ЭНЕРГЕТИЧЕСКАЯ И ПИЩЕВАЯ ЦЕННОСТЬ ЗА ДЕНЬ</t>
  </si>
  <si>
    <t>Компот из кураги, витамин С</t>
  </si>
  <si>
    <t>268/17</t>
  </si>
  <si>
    <t>Шницель мясной</t>
  </si>
  <si>
    <t>Компот из смеси сухофруктов, витамин С</t>
  </si>
  <si>
    <t>Суп картофельный с рисовой крупой</t>
  </si>
  <si>
    <t>Каша перловая</t>
  </si>
  <si>
    <t>Суп картофельный с макаронными изделиями</t>
  </si>
  <si>
    <t>Картофель отварной</t>
  </si>
  <si>
    <t>310/17</t>
  </si>
  <si>
    <t>199/06</t>
  </si>
  <si>
    <t>Каша пшенная рассыпчатая</t>
  </si>
  <si>
    <t>Кисель из концентрата плодового или ягодного, витамин С</t>
  </si>
  <si>
    <t>Свекольник</t>
  </si>
  <si>
    <t>160/06</t>
  </si>
  <si>
    <t>Суп из овощей</t>
  </si>
  <si>
    <t xml:space="preserve">Котлета домашняя </t>
  </si>
  <si>
    <t>271/17</t>
  </si>
  <si>
    <t>88/17</t>
  </si>
  <si>
    <t>Щи из свежей капусты с картофелем</t>
  </si>
  <si>
    <t>ТТК 246</t>
  </si>
  <si>
    <t>Азу из мяса</t>
  </si>
  <si>
    <t>Рассольник "Ленинградский"</t>
  </si>
  <si>
    <t>96/17</t>
  </si>
  <si>
    <t>Печень, тушенная в соусе</t>
  </si>
  <si>
    <t>261/17</t>
  </si>
  <si>
    <t>Меню для обучащихся продленной группы за родительскую оплату стоимостью 70 руб</t>
  </si>
  <si>
    <t>Фрикадельки в соусе</t>
  </si>
  <si>
    <t>Капуста тушеная</t>
  </si>
  <si>
    <t>321/17</t>
  </si>
  <si>
    <t>280/17</t>
  </si>
  <si>
    <t>Котлета из мяса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</si>
</sst>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233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right" vertical="top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indent="1"/>
    </xf>
    <xf numFmtId="0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horizontal="left" vertical="top" indent="6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/>
    </xf>
    <xf numFmtId="0" fontId="12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12" fillId="2" borderId="3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 indent="1"/>
    </xf>
    <xf numFmtId="2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right" vertical="center" indent="1"/>
    </xf>
    <xf numFmtId="0" fontId="1" fillId="2" borderId="3" xfId="0" applyNumberFormat="1" applyFont="1" applyFill="1" applyBorder="1" applyAlignment="1" applyProtection="1">
      <alignment horizontal="right" vertical="top" inden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left" wrapText="1"/>
    </xf>
    <xf numFmtId="2" fontId="4" fillId="2" borderId="3" xfId="0" applyNumberFormat="1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left"/>
    </xf>
    <xf numFmtId="0" fontId="7" fillId="2" borderId="3" xfId="0" applyNumberFormat="1" applyFont="1" applyFill="1" applyBorder="1" applyAlignment="1" applyProtection="1">
      <alignment horizontal="right" vertical="top" indent="1"/>
    </xf>
    <xf numFmtId="0" fontId="12" fillId="2" borderId="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right" vertical="top" indent="1"/>
    </xf>
    <xf numFmtId="49" fontId="4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center" vertical="top"/>
    </xf>
    <xf numFmtId="0" fontId="1" fillId="2" borderId="3" xfId="0" applyNumberFormat="1" applyFont="1" applyFill="1" applyBorder="1" applyAlignment="1" applyProtection="1">
      <alignment horizontal="center" vertical="top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right" vertical="center" indent="1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top"/>
    </xf>
    <xf numFmtId="0" fontId="8" fillId="2" borderId="3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right" vertical="top"/>
    </xf>
    <xf numFmtId="0" fontId="8" fillId="2" borderId="5" xfId="0" applyNumberFormat="1" applyFont="1" applyFill="1" applyBorder="1" applyAlignment="1" applyProtection="1">
      <alignment horizontal="center" wrapText="1"/>
    </xf>
    <xf numFmtId="2" fontId="8" fillId="2" borderId="3" xfId="0" applyNumberFormat="1" applyFont="1" applyFill="1" applyBorder="1" applyAlignment="1" applyProtection="1">
      <alignment horizontal="center" vertical="center"/>
    </xf>
    <xf numFmtId="2" fontId="8" fillId="2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8" fillId="2" borderId="5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wrapText="1"/>
    </xf>
    <xf numFmtId="2" fontId="4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right" vertical="center"/>
    </xf>
    <xf numFmtId="0" fontId="9" fillId="2" borderId="9" xfId="0" applyNumberFormat="1" applyFont="1" applyFill="1" applyBorder="1" applyAlignment="1" applyProtection="1">
      <alignment horizontal="left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right" vertical="top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12" fillId="2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horizontal="right" wrapText="1"/>
    </xf>
    <xf numFmtId="2" fontId="10" fillId="2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right" vertical="top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top"/>
    </xf>
    <xf numFmtId="2" fontId="4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 vertical="center"/>
    </xf>
    <xf numFmtId="0" fontId="9" fillId="2" borderId="8" xfId="0" applyNumberFormat="1" applyFont="1" applyFill="1" applyBorder="1" applyAlignment="1" applyProtection="1">
      <alignment horizontal="right" vertical="center"/>
    </xf>
    <xf numFmtId="0" fontId="8" fillId="2" borderId="3" xfId="0" applyNumberFormat="1" applyFont="1" applyFill="1" applyBorder="1" applyAlignment="1" applyProtection="1">
      <alignment horizontal="right" vertical="center"/>
    </xf>
    <xf numFmtId="0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 applyProtection="1">
      <alignment horizontal="right" vertical="top" indent="1"/>
    </xf>
    <xf numFmtId="0" fontId="4" fillId="2" borderId="6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/>
    </xf>
    <xf numFmtId="0" fontId="4" fillId="2" borderId="3" xfId="1" applyNumberFormat="1" applyFont="1" applyFill="1" applyBorder="1" applyAlignment="1" applyProtection="1">
      <alignment horizontal="left" vertical="top" wrapText="1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right" vertical="top" inden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6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3" xfId="0" applyNumberFormat="1" applyFont="1" applyFill="1" applyBorder="1" applyAlignment="1" applyProtection="1">
      <alignment vertical="top"/>
    </xf>
    <xf numFmtId="0" fontId="10" fillId="2" borderId="3" xfId="0" applyNumberFormat="1" applyFont="1" applyFill="1" applyBorder="1" applyAlignment="1" applyProtection="1">
      <alignment horizontal="center" vertical="top"/>
    </xf>
    <xf numFmtId="0" fontId="12" fillId="2" borderId="1" xfId="0" applyNumberFormat="1" applyFont="1" applyFill="1" applyBorder="1" applyAlignment="1" applyProtection="1">
      <alignment horizontal="center" vertical="top"/>
    </xf>
    <xf numFmtId="1" fontId="8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1" fontId="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left" wrapText="1"/>
    </xf>
    <xf numFmtId="1" fontId="4" fillId="2" borderId="5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top"/>
    </xf>
    <xf numFmtId="2" fontId="1" fillId="2" borderId="3" xfId="0" applyNumberFormat="1" applyFont="1" applyFill="1" applyBorder="1" applyAlignment="1" applyProtection="1">
      <alignment horizontal="center"/>
    </xf>
    <xf numFmtId="2" fontId="4" fillId="2" borderId="3" xfId="1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/>
    </xf>
    <xf numFmtId="0" fontId="1" fillId="2" borderId="5" xfId="0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>
      <alignment horizontal="right" vertical="top"/>
    </xf>
    <xf numFmtId="49" fontId="1" fillId="2" borderId="3" xfId="0" applyNumberFormat="1" applyFont="1" applyFill="1" applyBorder="1" applyAlignment="1" applyProtection="1">
      <alignment horizontal="right"/>
    </xf>
    <xf numFmtId="0" fontId="0" fillId="2" borderId="3" xfId="0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 applyProtection="1">
      <alignment horizontal="right" vertical="top"/>
    </xf>
    <xf numFmtId="0" fontId="1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2" fontId="4" fillId="2" borderId="3" xfId="0" applyNumberFormat="1" applyFont="1" applyFill="1" applyBorder="1" applyAlignment="1" applyProtection="1">
      <alignment vertical="center"/>
    </xf>
    <xf numFmtId="0" fontId="9" fillId="2" borderId="4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vertical="top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right" vertical="center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2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left" vertical="center" wrapText="1"/>
    </xf>
    <xf numFmtId="2" fontId="14" fillId="2" borderId="3" xfId="0" applyNumberFormat="1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2" fontId="14" fillId="2" borderId="3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49" fontId="14" fillId="2" borderId="3" xfId="0" applyNumberFormat="1" applyFont="1" applyFill="1" applyBorder="1" applyAlignment="1" applyProtection="1">
      <alignment horizontal="center" vertical="center" wrapText="1"/>
    </xf>
    <xf numFmtId="1" fontId="14" fillId="2" borderId="3" xfId="0" applyNumberFormat="1" applyFont="1" applyFill="1" applyBorder="1" applyAlignment="1" applyProtection="1">
      <alignment horizontal="center" vertical="center" wrapText="1"/>
    </xf>
    <xf numFmtId="1" fontId="15" fillId="2" borderId="3" xfId="0" applyNumberFormat="1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3" xfId="0" applyNumberFormat="1" applyFont="1" applyFill="1" applyBorder="1" applyAlignment="1" applyProtection="1">
      <alignment horizontal="lef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5" fillId="0" borderId="6" xfId="0" applyNumberFormat="1" applyFont="1" applyFill="1" applyBorder="1" applyAlignment="1" applyProtection="1">
      <alignment horizontal="left" vertical="center" wrapText="1"/>
    </xf>
    <xf numFmtId="0" fontId="15" fillId="0" borderId="5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4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2" fillId="2" borderId="4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 indent="1"/>
    </xf>
    <xf numFmtId="0" fontId="2" fillId="2" borderId="6" xfId="0" applyNumberFormat="1" applyFont="1" applyFill="1" applyBorder="1" applyAlignment="1" applyProtection="1">
      <alignment horizontal="left" vertical="center" indent="1"/>
    </xf>
    <xf numFmtId="0" fontId="2" fillId="2" borderId="5" xfId="0" applyNumberFormat="1" applyFont="1" applyFill="1" applyBorder="1" applyAlignment="1" applyProtection="1">
      <alignment horizontal="left" vertical="center" indent="1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60"/>
  <sheetViews>
    <sheetView tabSelected="1" topLeftCell="A4" zoomScale="112" zoomScaleNormal="112" workbookViewId="0">
      <selection activeCell="K9" sqref="K9"/>
    </sheetView>
  </sheetViews>
  <sheetFormatPr defaultColWidth="9.109375" defaultRowHeight="13.2" x14ac:dyDescent="0.25"/>
  <cols>
    <col min="1" max="1" width="11" style="184" customWidth="1"/>
    <col min="2" max="2" width="37" style="190" customWidth="1"/>
    <col min="3" max="3" width="10" style="184" customWidth="1"/>
    <col min="4" max="4" width="7.88671875" style="184" customWidth="1"/>
    <col min="5" max="5" width="8.6640625" style="184" customWidth="1"/>
    <col min="6" max="6" width="8.44140625" style="184" customWidth="1"/>
    <col min="7" max="7" width="11" style="184" customWidth="1"/>
    <col min="8" max="16384" width="9.109375" style="183"/>
  </cols>
  <sheetData>
    <row r="1" spans="1:7" ht="12.75" customHeight="1" x14ac:dyDescent="0.25">
      <c r="A1" s="206" t="s">
        <v>267</v>
      </c>
      <c r="B1" s="206"/>
      <c r="C1" s="206"/>
      <c r="D1" s="206"/>
      <c r="E1" s="206"/>
      <c r="F1" s="206"/>
      <c r="G1" s="206"/>
    </row>
    <row r="2" spans="1:7" x14ac:dyDescent="0.25">
      <c r="A2" s="206"/>
      <c r="B2" s="206"/>
      <c r="C2" s="206"/>
      <c r="D2" s="206"/>
      <c r="E2" s="206"/>
      <c r="F2" s="206"/>
      <c r="G2" s="206"/>
    </row>
    <row r="3" spans="1:7" ht="33.75" customHeight="1" x14ac:dyDescent="0.25">
      <c r="A3" s="207" t="s">
        <v>206</v>
      </c>
      <c r="B3" s="207" t="s">
        <v>207</v>
      </c>
      <c r="C3" s="207" t="s">
        <v>208</v>
      </c>
      <c r="D3" s="207" t="s">
        <v>209</v>
      </c>
      <c r="E3" s="207"/>
      <c r="F3" s="207"/>
      <c r="G3" s="207" t="s">
        <v>23</v>
      </c>
    </row>
    <row r="4" spans="1:7" ht="34.5" customHeight="1" x14ac:dyDescent="0.25">
      <c r="A4" s="207"/>
      <c r="B4" s="207"/>
      <c r="C4" s="207"/>
      <c r="D4" s="192" t="s">
        <v>17</v>
      </c>
      <c r="E4" s="192" t="s">
        <v>19</v>
      </c>
      <c r="F4" s="192" t="s">
        <v>21</v>
      </c>
      <c r="G4" s="207"/>
    </row>
    <row r="5" spans="1:7" x14ac:dyDescent="0.25">
      <c r="A5" s="192" t="s">
        <v>2</v>
      </c>
      <c r="B5" s="192" t="s">
        <v>8</v>
      </c>
      <c r="C5" s="192" t="s">
        <v>15</v>
      </c>
      <c r="D5" s="192" t="s">
        <v>18</v>
      </c>
      <c r="E5" s="192" t="s">
        <v>20</v>
      </c>
      <c r="F5" s="192" t="s">
        <v>22</v>
      </c>
      <c r="G5" s="192" t="s">
        <v>24</v>
      </c>
    </row>
    <row r="6" spans="1:7" ht="27.9" customHeight="1" x14ac:dyDescent="0.25">
      <c r="A6" s="211" t="s">
        <v>210</v>
      </c>
      <c r="B6" s="212"/>
      <c r="C6" s="213"/>
      <c r="D6" s="191"/>
      <c r="E6" s="191"/>
      <c r="F6" s="191"/>
      <c r="G6" s="191"/>
    </row>
    <row r="7" spans="1:7" x14ac:dyDescent="0.25">
      <c r="A7" s="193"/>
      <c r="B7" s="208" t="s">
        <v>67</v>
      </c>
      <c r="C7" s="208"/>
      <c r="D7" s="194">
        <f>D8+D9+D10+D11</f>
        <v>15.18</v>
      </c>
      <c r="E7" s="194">
        <f>E8+E9+E10+E11</f>
        <v>31.75</v>
      </c>
      <c r="F7" s="194">
        <f>F8+F9+F10+F11</f>
        <v>76.22</v>
      </c>
      <c r="G7" s="194">
        <f>G8+G9+G10+G11</f>
        <v>656.28</v>
      </c>
    </row>
    <row r="8" spans="1:7" ht="12.75" customHeight="1" x14ac:dyDescent="0.25">
      <c r="A8" s="195" t="s">
        <v>166</v>
      </c>
      <c r="B8" s="196" t="s">
        <v>200</v>
      </c>
      <c r="C8" s="195">
        <v>200</v>
      </c>
      <c r="D8" s="197">
        <v>4.09</v>
      </c>
      <c r="E8" s="197">
        <v>10.61</v>
      </c>
      <c r="F8" s="197">
        <v>13.54</v>
      </c>
      <c r="G8" s="197">
        <v>166.01</v>
      </c>
    </row>
    <row r="9" spans="1:7" x14ac:dyDescent="0.25">
      <c r="A9" s="193" t="s">
        <v>220</v>
      </c>
      <c r="B9" s="196" t="s">
        <v>221</v>
      </c>
      <c r="C9" s="195">
        <v>175</v>
      </c>
      <c r="D9" s="197">
        <v>8.42</v>
      </c>
      <c r="E9" s="197">
        <v>20.98</v>
      </c>
      <c r="F9" s="197">
        <v>40.81</v>
      </c>
      <c r="G9" s="197">
        <v>385.7</v>
      </c>
    </row>
    <row r="10" spans="1:7" x14ac:dyDescent="0.25">
      <c r="A10" s="195" t="s">
        <v>42</v>
      </c>
      <c r="B10" s="196" t="s">
        <v>245</v>
      </c>
      <c r="C10" s="195">
        <v>200</v>
      </c>
      <c r="D10" s="197">
        <v>1.1499999999999999</v>
      </c>
      <c r="E10" s="197"/>
      <c r="F10" s="197">
        <v>12.03</v>
      </c>
      <c r="G10" s="197">
        <v>55.4</v>
      </c>
    </row>
    <row r="11" spans="1:7" x14ac:dyDescent="0.25">
      <c r="A11" s="195"/>
      <c r="B11" s="196" t="s">
        <v>11</v>
      </c>
      <c r="C11" s="195">
        <v>20</v>
      </c>
      <c r="D11" s="197">
        <v>1.52</v>
      </c>
      <c r="E11" s="197">
        <v>0.16</v>
      </c>
      <c r="F11" s="197">
        <v>9.84</v>
      </c>
      <c r="G11" s="197">
        <v>49.17</v>
      </c>
    </row>
    <row r="12" spans="1:7" x14ac:dyDescent="0.25">
      <c r="A12" s="210"/>
      <c r="B12" s="210"/>
      <c r="C12" s="198"/>
      <c r="D12" s="199"/>
      <c r="E12" s="199"/>
      <c r="F12" s="199"/>
      <c r="G12" s="199"/>
    </row>
    <row r="13" spans="1:7" ht="27.9" customHeight="1" x14ac:dyDescent="0.25">
      <c r="A13" s="209" t="s">
        <v>211</v>
      </c>
      <c r="B13" s="209"/>
      <c r="C13" s="209"/>
      <c r="D13" s="200"/>
      <c r="E13" s="200"/>
      <c r="F13" s="200"/>
      <c r="G13" s="200"/>
    </row>
    <row r="14" spans="1:7" x14ac:dyDescent="0.25">
      <c r="A14" s="195"/>
      <c r="B14" s="208" t="s">
        <v>67</v>
      </c>
      <c r="C14" s="208"/>
      <c r="D14" s="200">
        <f>D15+D16+D17+D18+D19</f>
        <v>14.77</v>
      </c>
      <c r="E14" s="200">
        <f>E15+E16+E17+E18+E19</f>
        <v>37.229999999999997</v>
      </c>
      <c r="F14" s="200">
        <f>F15+F16+F17+F18+F19</f>
        <v>63.989999999999995</v>
      </c>
      <c r="G14" s="200">
        <f>G15+G16+G17+G18+G19</f>
        <v>659.52</v>
      </c>
    </row>
    <row r="15" spans="1:7" x14ac:dyDescent="0.25">
      <c r="A15" s="195" t="s">
        <v>167</v>
      </c>
      <c r="B15" s="196" t="s">
        <v>246</v>
      </c>
      <c r="C15" s="195">
        <v>200</v>
      </c>
      <c r="D15" s="197">
        <v>4.57</v>
      </c>
      <c r="E15" s="197">
        <v>12.24</v>
      </c>
      <c r="F15" s="197">
        <v>19.04</v>
      </c>
      <c r="G15" s="197">
        <v>204.6</v>
      </c>
    </row>
    <row r="16" spans="1:7" x14ac:dyDescent="0.25">
      <c r="A16" s="193" t="s">
        <v>43</v>
      </c>
      <c r="B16" s="196" t="s">
        <v>219</v>
      </c>
      <c r="C16" s="195">
        <v>60</v>
      </c>
      <c r="D16" s="197">
        <v>5.54</v>
      </c>
      <c r="E16" s="197">
        <v>21.56</v>
      </c>
      <c r="F16" s="197">
        <v>2.77</v>
      </c>
      <c r="G16" s="197">
        <v>227.25</v>
      </c>
    </row>
    <row r="17" spans="1:7" x14ac:dyDescent="0.25">
      <c r="A17" s="195" t="s">
        <v>226</v>
      </c>
      <c r="B17" s="196" t="s">
        <v>247</v>
      </c>
      <c r="C17" s="195">
        <v>150</v>
      </c>
      <c r="D17" s="197">
        <v>3.14</v>
      </c>
      <c r="E17" s="197">
        <v>3.27</v>
      </c>
      <c r="F17" s="197">
        <v>22.34</v>
      </c>
      <c r="G17" s="197">
        <v>136.5</v>
      </c>
    </row>
    <row r="18" spans="1:7" x14ac:dyDescent="0.25">
      <c r="A18" s="193" t="s">
        <v>164</v>
      </c>
      <c r="B18" s="196" t="s">
        <v>10</v>
      </c>
      <c r="C18" s="195">
        <v>200</v>
      </c>
      <c r="D18" s="197">
        <v>0</v>
      </c>
      <c r="E18" s="197">
        <v>0</v>
      </c>
      <c r="F18" s="197">
        <v>10</v>
      </c>
      <c r="G18" s="197">
        <v>42</v>
      </c>
    </row>
    <row r="19" spans="1:7" x14ac:dyDescent="0.25">
      <c r="A19" s="195"/>
      <c r="B19" s="196" t="s">
        <v>11</v>
      </c>
      <c r="C19" s="195">
        <v>20</v>
      </c>
      <c r="D19" s="197">
        <v>1.52</v>
      </c>
      <c r="E19" s="197">
        <v>0.16</v>
      </c>
      <c r="F19" s="197">
        <v>9.84</v>
      </c>
      <c r="G19" s="197">
        <v>49.17</v>
      </c>
    </row>
    <row r="20" spans="1:7" x14ac:dyDescent="0.25">
      <c r="A20" s="210"/>
      <c r="B20" s="210"/>
      <c r="C20" s="201"/>
      <c r="D20" s="197"/>
      <c r="E20" s="197"/>
      <c r="F20" s="197"/>
      <c r="G20" s="197"/>
    </row>
    <row r="21" spans="1:7" ht="27.9" customHeight="1" x14ac:dyDescent="0.25">
      <c r="A21" s="209" t="s">
        <v>212</v>
      </c>
      <c r="B21" s="209"/>
      <c r="C21" s="209"/>
      <c r="D21" s="200"/>
      <c r="E21" s="200"/>
      <c r="F21" s="200"/>
      <c r="G21" s="200"/>
    </row>
    <row r="22" spans="1:7" x14ac:dyDescent="0.25">
      <c r="A22" s="195"/>
      <c r="B22" s="208" t="s">
        <v>67</v>
      </c>
      <c r="C22" s="208"/>
      <c r="D22" s="200">
        <f>D23+D24+D25+D26+D27</f>
        <v>28.97</v>
      </c>
      <c r="E22" s="200">
        <f>E23+E24+E25+E26+E27</f>
        <v>16.329999999999998</v>
      </c>
      <c r="F22" s="200">
        <f>F23+F24+F25+F26+F27</f>
        <v>73.67</v>
      </c>
      <c r="G22" s="200">
        <f>G23+G24+G25+G26+G27</f>
        <v>575.48</v>
      </c>
    </row>
    <row r="23" spans="1:7" x14ac:dyDescent="0.25">
      <c r="A23" s="195" t="s">
        <v>117</v>
      </c>
      <c r="B23" s="196" t="s">
        <v>199</v>
      </c>
      <c r="C23" s="195">
        <v>200</v>
      </c>
      <c r="D23" s="197">
        <v>2.64</v>
      </c>
      <c r="E23" s="197">
        <v>3.56</v>
      </c>
      <c r="F23" s="197">
        <v>11.76</v>
      </c>
      <c r="G23" s="197">
        <v>93</v>
      </c>
    </row>
    <row r="24" spans="1:7" x14ac:dyDescent="0.25">
      <c r="A24" s="195" t="s">
        <v>243</v>
      </c>
      <c r="B24" s="196" t="s">
        <v>244</v>
      </c>
      <c r="C24" s="195">
        <v>70</v>
      </c>
      <c r="D24" s="197">
        <v>7.92</v>
      </c>
      <c r="E24" s="197">
        <v>8.66</v>
      </c>
      <c r="F24" s="197">
        <v>7.91</v>
      </c>
      <c r="G24" s="197">
        <v>141.26</v>
      </c>
    </row>
    <row r="25" spans="1:7" x14ac:dyDescent="0.25">
      <c r="A25" s="193" t="s">
        <v>134</v>
      </c>
      <c r="B25" s="196" t="s">
        <v>148</v>
      </c>
      <c r="C25" s="195">
        <v>150</v>
      </c>
      <c r="D25" s="197">
        <v>16.260000000000002</v>
      </c>
      <c r="E25" s="197">
        <v>4.03</v>
      </c>
      <c r="F25" s="197">
        <v>33.97</v>
      </c>
      <c r="G25" s="197">
        <v>247.3</v>
      </c>
    </row>
    <row r="26" spans="1:7" x14ac:dyDescent="0.25">
      <c r="A26" s="195" t="s">
        <v>42</v>
      </c>
      <c r="B26" s="196" t="s">
        <v>245</v>
      </c>
      <c r="C26" s="195">
        <v>200</v>
      </c>
      <c r="D26" s="197">
        <v>1.1499999999999999</v>
      </c>
      <c r="E26" s="197"/>
      <c r="F26" s="197">
        <v>12.03</v>
      </c>
      <c r="G26" s="197">
        <v>55.4</v>
      </c>
    </row>
    <row r="27" spans="1:7" x14ac:dyDescent="0.25">
      <c r="A27" s="195"/>
      <c r="B27" s="196" t="s">
        <v>37</v>
      </c>
      <c r="C27" s="195">
        <v>20</v>
      </c>
      <c r="D27" s="197">
        <v>1</v>
      </c>
      <c r="E27" s="197">
        <v>0.08</v>
      </c>
      <c r="F27" s="197">
        <v>8</v>
      </c>
      <c r="G27" s="197">
        <v>38.520000000000003</v>
      </c>
    </row>
    <row r="28" spans="1:7" x14ac:dyDescent="0.25">
      <c r="A28" s="210"/>
      <c r="B28" s="210"/>
      <c r="C28" s="201"/>
      <c r="D28" s="197"/>
      <c r="E28" s="197"/>
      <c r="F28" s="197"/>
      <c r="G28" s="197"/>
    </row>
    <row r="29" spans="1:7" ht="27.9" customHeight="1" x14ac:dyDescent="0.25">
      <c r="A29" s="209" t="s">
        <v>213</v>
      </c>
      <c r="B29" s="209"/>
      <c r="C29" s="209"/>
      <c r="D29" s="200"/>
      <c r="E29" s="200"/>
      <c r="F29" s="200"/>
      <c r="G29" s="200"/>
    </row>
    <row r="30" spans="1:7" ht="15" customHeight="1" x14ac:dyDescent="0.25">
      <c r="A30" s="195"/>
      <c r="B30" s="208" t="s">
        <v>67</v>
      </c>
      <c r="C30" s="208"/>
      <c r="D30" s="200">
        <f>D31+D32+D33+D34+D35</f>
        <v>22.639999999999997</v>
      </c>
      <c r="E30" s="200">
        <f t="shared" ref="E30:G30" si="0">E31+E32+E33+E34+E35</f>
        <v>22.84</v>
      </c>
      <c r="F30" s="200">
        <f t="shared" si="0"/>
        <v>102.39000000000001</v>
      </c>
      <c r="G30" s="200">
        <f t="shared" si="0"/>
        <v>674.80399999999997</v>
      </c>
    </row>
    <row r="31" spans="1:7" ht="30" customHeight="1" x14ac:dyDescent="0.25">
      <c r="A31" s="195" t="s">
        <v>124</v>
      </c>
      <c r="B31" s="196" t="s">
        <v>248</v>
      </c>
      <c r="C31" s="195">
        <v>200</v>
      </c>
      <c r="D31" s="197">
        <v>3.96</v>
      </c>
      <c r="E31" s="197">
        <v>4.8600000000000003</v>
      </c>
      <c r="F31" s="197">
        <v>17.010000000000002</v>
      </c>
      <c r="G31" s="197">
        <v>131.81399999999999</v>
      </c>
    </row>
    <row r="32" spans="1:7" ht="30" customHeight="1" x14ac:dyDescent="0.25">
      <c r="A32" s="195" t="s">
        <v>271</v>
      </c>
      <c r="B32" s="196" t="s">
        <v>268</v>
      </c>
      <c r="C32" s="195">
        <v>105</v>
      </c>
      <c r="D32" s="197">
        <v>10.01</v>
      </c>
      <c r="E32" s="197">
        <v>9.7799999999999994</v>
      </c>
      <c r="F32" s="197">
        <v>15.2</v>
      </c>
      <c r="G32" s="197">
        <v>188.86</v>
      </c>
    </row>
    <row r="33" spans="1:7" ht="15" customHeight="1" x14ac:dyDescent="0.25">
      <c r="A33" s="195" t="s">
        <v>270</v>
      </c>
      <c r="B33" s="196" t="s">
        <v>269</v>
      </c>
      <c r="C33" s="195">
        <v>150</v>
      </c>
      <c r="D33" s="197">
        <v>7.15</v>
      </c>
      <c r="E33" s="197">
        <v>8.0399999999999991</v>
      </c>
      <c r="F33" s="197">
        <v>40.5</v>
      </c>
      <c r="G33" s="197">
        <v>262.95999999999998</v>
      </c>
    </row>
    <row r="34" spans="1:7" ht="16.5" customHeight="1" x14ac:dyDescent="0.25">
      <c r="A34" s="202" t="s">
        <v>164</v>
      </c>
      <c r="B34" s="196" t="s">
        <v>10</v>
      </c>
      <c r="C34" s="202">
        <v>200</v>
      </c>
      <c r="D34" s="197">
        <v>0</v>
      </c>
      <c r="E34" s="197">
        <v>0</v>
      </c>
      <c r="F34" s="197">
        <v>10</v>
      </c>
      <c r="G34" s="197">
        <v>42</v>
      </c>
    </row>
    <row r="35" spans="1:7" ht="15" customHeight="1" x14ac:dyDescent="0.25">
      <c r="A35" s="193"/>
      <c r="B35" s="196" t="s">
        <v>11</v>
      </c>
      <c r="C35" s="195">
        <v>20</v>
      </c>
      <c r="D35" s="197">
        <v>1.52</v>
      </c>
      <c r="E35" s="197">
        <v>0.16</v>
      </c>
      <c r="F35" s="197">
        <v>19.68</v>
      </c>
      <c r="G35" s="197">
        <v>49.17</v>
      </c>
    </row>
    <row r="36" spans="1:7" ht="15" customHeight="1" x14ac:dyDescent="0.25">
      <c r="A36" s="210"/>
      <c r="B36" s="210"/>
      <c r="C36" s="201"/>
      <c r="D36" s="197"/>
      <c r="E36" s="197"/>
      <c r="F36" s="197"/>
      <c r="G36" s="197"/>
    </row>
    <row r="37" spans="1:7" ht="27.9" customHeight="1" x14ac:dyDescent="0.25">
      <c r="A37" s="209" t="s">
        <v>214</v>
      </c>
      <c r="B37" s="209"/>
      <c r="C37" s="209"/>
      <c r="D37" s="200"/>
      <c r="E37" s="200"/>
      <c r="F37" s="200"/>
      <c r="G37" s="200"/>
    </row>
    <row r="38" spans="1:7" x14ac:dyDescent="0.25">
      <c r="A38" s="195"/>
      <c r="B38" s="208" t="s">
        <v>67</v>
      </c>
      <c r="C38" s="208"/>
      <c r="D38" s="200">
        <f>D39+D40++D41+D42</f>
        <v>18.38</v>
      </c>
      <c r="E38" s="200">
        <f>E39+E40++E41+E42</f>
        <v>32.879999999999995</v>
      </c>
      <c r="F38" s="200">
        <f>F39+F40+F41+F42</f>
        <v>77.320000000000007</v>
      </c>
      <c r="G38" s="200">
        <f>G39+G40+G41+G42</f>
        <v>683.16</v>
      </c>
    </row>
    <row r="39" spans="1:7" ht="24" customHeight="1" x14ac:dyDescent="0.25">
      <c r="A39" s="193" t="s">
        <v>101</v>
      </c>
      <c r="B39" s="196" t="s">
        <v>194</v>
      </c>
      <c r="C39" s="195">
        <v>200</v>
      </c>
      <c r="D39" s="197">
        <v>7.81</v>
      </c>
      <c r="E39" s="197">
        <v>11.82</v>
      </c>
      <c r="F39" s="197">
        <v>16.48</v>
      </c>
      <c r="G39" s="197">
        <v>203.54</v>
      </c>
    </row>
    <row r="40" spans="1:7" x14ac:dyDescent="0.25">
      <c r="A40" s="193" t="s">
        <v>220</v>
      </c>
      <c r="B40" s="196" t="s">
        <v>221</v>
      </c>
      <c r="C40" s="195">
        <v>175</v>
      </c>
      <c r="D40" s="197">
        <v>8.42</v>
      </c>
      <c r="E40" s="197">
        <v>20.98</v>
      </c>
      <c r="F40" s="197">
        <v>40.81</v>
      </c>
      <c r="G40" s="197">
        <v>385.7</v>
      </c>
    </row>
    <row r="41" spans="1:7" ht="29.25" customHeight="1" x14ac:dyDescent="0.25">
      <c r="A41" s="195" t="s">
        <v>42</v>
      </c>
      <c r="B41" s="196" t="s">
        <v>245</v>
      </c>
      <c r="C41" s="195">
        <v>200</v>
      </c>
      <c r="D41" s="197">
        <v>1.1499999999999999</v>
      </c>
      <c r="E41" s="197"/>
      <c r="F41" s="197">
        <v>12.03</v>
      </c>
      <c r="G41" s="197">
        <v>55.4</v>
      </c>
    </row>
    <row r="42" spans="1:7" x14ac:dyDescent="0.25">
      <c r="A42" s="195"/>
      <c r="B42" s="196" t="s">
        <v>37</v>
      </c>
      <c r="C42" s="195">
        <v>20</v>
      </c>
      <c r="D42" s="197">
        <v>1</v>
      </c>
      <c r="E42" s="197">
        <v>0.08</v>
      </c>
      <c r="F42" s="197">
        <v>8</v>
      </c>
      <c r="G42" s="197">
        <v>38.520000000000003</v>
      </c>
    </row>
    <row r="43" spans="1:7" x14ac:dyDescent="0.25">
      <c r="A43" s="210"/>
      <c r="B43" s="210"/>
      <c r="C43" s="201"/>
      <c r="D43" s="197"/>
      <c r="E43" s="197"/>
      <c r="F43" s="197"/>
      <c r="G43" s="197"/>
    </row>
    <row r="44" spans="1:7" ht="27.9" customHeight="1" x14ac:dyDescent="0.25">
      <c r="A44" s="209" t="s">
        <v>215</v>
      </c>
      <c r="B44" s="209"/>
      <c r="C44" s="209"/>
      <c r="D44" s="200"/>
      <c r="E44" s="200"/>
      <c r="F44" s="200"/>
      <c r="G44" s="200"/>
    </row>
    <row r="45" spans="1:7" x14ac:dyDescent="0.25">
      <c r="A45" s="193"/>
      <c r="B45" s="208" t="s">
        <v>67</v>
      </c>
      <c r="C45" s="208"/>
      <c r="D45" s="194">
        <f>D46+D47+D48+D49+D50</f>
        <v>17.45</v>
      </c>
      <c r="E45" s="194">
        <f>E46+E47+E48+E49+E50</f>
        <v>39.619999999999997</v>
      </c>
      <c r="F45" s="194">
        <f>F46+F47+F48+F49+F50</f>
        <v>92.63</v>
      </c>
      <c r="G45" s="194">
        <f>+G46+G47+G48+G49+G50</f>
        <v>804.4899999999999</v>
      </c>
    </row>
    <row r="46" spans="1:7" ht="28.5" customHeight="1" x14ac:dyDescent="0.25">
      <c r="A46" s="195" t="s">
        <v>166</v>
      </c>
      <c r="B46" s="196" t="s">
        <v>200</v>
      </c>
      <c r="C46" s="195">
        <v>200</v>
      </c>
      <c r="D46" s="197">
        <v>4.09</v>
      </c>
      <c r="E46" s="197">
        <v>10.61</v>
      </c>
      <c r="F46" s="197">
        <v>13.54</v>
      </c>
      <c r="G46" s="197">
        <v>166.01</v>
      </c>
    </row>
    <row r="47" spans="1:7" x14ac:dyDescent="0.25">
      <c r="A47" s="193" t="s">
        <v>43</v>
      </c>
      <c r="B47" s="196" t="s">
        <v>219</v>
      </c>
      <c r="C47" s="195">
        <v>60</v>
      </c>
      <c r="D47" s="197">
        <v>5.54</v>
      </c>
      <c r="E47" s="197">
        <v>21.56</v>
      </c>
      <c r="F47" s="197">
        <v>2.77</v>
      </c>
      <c r="G47" s="197">
        <v>227.25</v>
      </c>
    </row>
    <row r="48" spans="1:7" x14ac:dyDescent="0.25">
      <c r="A48" s="193" t="s">
        <v>251</v>
      </c>
      <c r="B48" s="196" t="s">
        <v>252</v>
      </c>
      <c r="C48" s="195">
        <v>150</v>
      </c>
      <c r="D48" s="197">
        <v>6.8</v>
      </c>
      <c r="E48" s="197">
        <v>7.37</v>
      </c>
      <c r="F48" s="197">
        <v>39.01</v>
      </c>
      <c r="G48" s="197">
        <v>249.55</v>
      </c>
    </row>
    <row r="49" spans="1:10" ht="26.4" x14ac:dyDescent="0.25">
      <c r="A49" s="193" t="s">
        <v>40</v>
      </c>
      <c r="B49" s="196" t="s">
        <v>253</v>
      </c>
      <c r="C49" s="195">
        <v>200</v>
      </c>
      <c r="D49" s="197">
        <v>0.02</v>
      </c>
      <c r="E49" s="197"/>
      <c r="F49" s="197">
        <v>29.31</v>
      </c>
      <c r="G49" s="197">
        <v>123.16</v>
      </c>
    </row>
    <row r="50" spans="1:10" x14ac:dyDescent="0.25">
      <c r="A50" s="195"/>
      <c r="B50" s="196" t="s">
        <v>37</v>
      </c>
      <c r="C50" s="195">
        <v>20</v>
      </c>
      <c r="D50" s="197">
        <v>1</v>
      </c>
      <c r="E50" s="197">
        <v>0.08</v>
      </c>
      <c r="F50" s="197">
        <v>8</v>
      </c>
      <c r="G50" s="197">
        <v>38.520000000000003</v>
      </c>
    </row>
    <row r="51" spans="1:10" x14ac:dyDescent="0.25">
      <c r="A51" s="210"/>
      <c r="B51" s="210"/>
      <c r="C51" s="201"/>
      <c r="D51" s="197"/>
      <c r="E51" s="197"/>
      <c r="F51" s="197"/>
      <c r="G51" s="197"/>
    </row>
    <row r="52" spans="1:10" ht="27.9" customHeight="1" x14ac:dyDescent="0.25">
      <c r="A52" s="209" t="s">
        <v>64</v>
      </c>
      <c r="B52" s="209"/>
      <c r="C52" s="209"/>
      <c r="D52" s="200"/>
      <c r="E52" s="200"/>
      <c r="F52" s="200"/>
      <c r="G52" s="200"/>
    </row>
    <row r="53" spans="1:10" ht="17.25" customHeight="1" x14ac:dyDescent="0.25">
      <c r="A53" s="195"/>
      <c r="B53" s="208" t="s">
        <v>67</v>
      </c>
      <c r="C53" s="208"/>
      <c r="D53" s="194">
        <f>D54+D55+D56+D57+D58</f>
        <v>33.06</v>
      </c>
      <c r="E53" s="194">
        <f>E54+E55+E56+E57+E58</f>
        <v>28</v>
      </c>
      <c r="F53" s="194">
        <f>F54+F55+F56+F57+F58</f>
        <v>78.06</v>
      </c>
      <c r="G53" s="194">
        <f>+G54+G55+G56+G57+G58</f>
        <v>714.33999999999992</v>
      </c>
      <c r="H53" s="182"/>
      <c r="I53" s="182"/>
      <c r="J53" s="182"/>
    </row>
    <row r="54" spans="1:10" ht="14.25" customHeight="1" x14ac:dyDescent="0.25">
      <c r="A54" s="193" t="s">
        <v>169</v>
      </c>
      <c r="B54" s="196" t="s">
        <v>254</v>
      </c>
      <c r="C54" s="203">
        <v>200</v>
      </c>
      <c r="D54" s="197">
        <v>6.65</v>
      </c>
      <c r="E54" s="197">
        <v>8.92</v>
      </c>
      <c r="F54" s="197">
        <v>15.49</v>
      </c>
      <c r="G54" s="197">
        <v>168.84</v>
      </c>
      <c r="H54" s="182"/>
      <c r="I54" s="182"/>
      <c r="J54" s="182"/>
    </row>
    <row r="55" spans="1:10" ht="14.25" customHeight="1" x14ac:dyDescent="0.25">
      <c r="A55" s="193" t="s">
        <v>222</v>
      </c>
      <c r="B55" s="196" t="s">
        <v>152</v>
      </c>
      <c r="C55" s="203">
        <v>110</v>
      </c>
      <c r="D55" s="197">
        <v>9.15</v>
      </c>
      <c r="E55" s="197">
        <v>14.97</v>
      </c>
      <c r="F55" s="197">
        <v>10.6</v>
      </c>
      <c r="G55" s="197">
        <v>217.68</v>
      </c>
      <c r="H55" s="182"/>
      <c r="I55" s="182"/>
      <c r="J55" s="182"/>
    </row>
    <row r="56" spans="1:10" ht="14.25" customHeight="1" x14ac:dyDescent="0.25">
      <c r="A56" s="193" t="s">
        <v>134</v>
      </c>
      <c r="B56" s="196" t="s">
        <v>148</v>
      </c>
      <c r="C56" s="195">
        <v>150</v>
      </c>
      <c r="D56" s="197">
        <v>16.260000000000002</v>
      </c>
      <c r="E56" s="197">
        <v>4.03</v>
      </c>
      <c r="F56" s="197">
        <v>33.97</v>
      </c>
      <c r="G56" s="197">
        <v>247.3</v>
      </c>
      <c r="H56" s="182"/>
      <c r="I56" s="182"/>
      <c r="J56" s="182"/>
    </row>
    <row r="57" spans="1:10" ht="14.25" customHeight="1" x14ac:dyDescent="0.25">
      <c r="A57" s="202" t="s">
        <v>164</v>
      </c>
      <c r="B57" s="196" t="s">
        <v>10</v>
      </c>
      <c r="C57" s="202">
        <v>200</v>
      </c>
      <c r="D57" s="197">
        <v>0</v>
      </c>
      <c r="E57" s="197">
        <v>0</v>
      </c>
      <c r="F57" s="197">
        <v>10</v>
      </c>
      <c r="G57" s="197">
        <v>42</v>
      </c>
      <c r="H57" s="182"/>
      <c r="I57" s="182"/>
      <c r="J57" s="182"/>
    </row>
    <row r="58" spans="1:10" ht="13.5" customHeight="1" x14ac:dyDescent="0.25">
      <c r="A58" s="195"/>
      <c r="B58" s="196" t="s">
        <v>37</v>
      </c>
      <c r="C58" s="195">
        <v>20</v>
      </c>
      <c r="D58" s="197">
        <v>1</v>
      </c>
      <c r="E58" s="197">
        <v>0.08</v>
      </c>
      <c r="F58" s="197">
        <v>8</v>
      </c>
      <c r="G58" s="197">
        <v>38.520000000000003</v>
      </c>
      <c r="H58" s="182"/>
      <c r="I58" s="182"/>
      <c r="J58" s="182"/>
    </row>
    <row r="59" spans="1:10" x14ac:dyDescent="0.25">
      <c r="A59" s="210"/>
      <c r="B59" s="210"/>
      <c r="C59" s="204"/>
      <c r="D59" s="197"/>
      <c r="E59" s="197"/>
      <c r="F59" s="197"/>
      <c r="G59" s="197"/>
      <c r="H59" s="182"/>
      <c r="I59" s="182"/>
      <c r="J59" s="185"/>
    </row>
    <row r="60" spans="1:10" ht="27.9" customHeight="1" x14ac:dyDescent="0.25">
      <c r="A60" s="209" t="s">
        <v>216</v>
      </c>
      <c r="B60" s="209"/>
      <c r="C60" s="209"/>
      <c r="D60" s="200"/>
      <c r="E60" s="200"/>
      <c r="F60" s="200"/>
      <c r="G60" s="200"/>
    </row>
    <row r="61" spans="1:10" x14ac:dyDescent="0.25">
      <c r="A61" s="202"/>
      <c r="B61" s="208" t="s">
        <v>67</v>
      </c>
      <c r="C61" s="208"/>
      <c r="D61" s="200">
        <f>D62+D63+D64+D65</f>
        <v>19.829999999999998</v>
      </c>
      <c r="E61" s="200">
        <f>E62+E63+E64+E65</f>
        <v>43.769999999999996</v>
      </c>
      <c r="F61" s="200">
        <f>F62+F63+F64+F65</f>
        <v>100.49000000000001</v>
      </c>
      <c r="G61" s="200">
        <f>+G62+G63+G64+G65</f>
        <v>883.75</v>
      </c>
    </row>
    <row r="62" spans="1:10" x14ac:dyDescent="0.25">
      <c r="A62" s="195" t="s">
        <v>130</v>
      </c>
      <c r="B62" s="196" t="s">
        <v>201</v>
      </c>
      <c r="C62" s="195">
        <v>200</v>
      </c>
      <c r="D62" s="197">
        <v>7.49</v>
      </c>
      <c r="E62" s="197">
        <f>10.16+12.36</f>
        <v>22.52</v>
      </c>
      <c r="F62" s="197">
        <f>4.87+8.96</f>
        <v>13.830000000000002</v>
      </c>
      <c r="G62" s="197">
        <v>292.92</v>
      </c>
    </row>
    <row r="63" spans="1:10" x14ac:dyDescent="0.25">
      <c r="A63" s="193" t="s">
        <v>220</v>
      </c>
      <c r="B63" s="196" t="s">
        <v>221</v>
      </c>
      <c r="C63" s="195">
        <v>175</v>
      </c>
      <c r="D63" s="197">
        <v>8.42</v>
      </c>
      <c r="E63" s="197">
        <v>20.98</v>
      </c>
      <c r="F63" s="197">
        <v>40.81</v>
      </c>
      <c r="G63" s="197">
        <v>385.7</v>
      </c>
    </row>
    <row r="64" spans="1:10" x14ac:dyDescent="0.25">
      <c r="A64" s="193" t="s">
        <v>228</v>
      </c>
      <c r="B64" s="205" t="s">
        <v>242</v>
      </c>
      <c r="C64" s="195">
        <v>200</v>
      </c>
      <c r="D64" s="197">
        <v>1.92</v>
      </c>
      <c r="E64" s="197">
        <v>0.11</v>
      </c>
      <c r="F64" s="197">
        <v>29.85</v>
      </c>
      <c r="G64" s="197">
        <v>128.09</v>
      </c>
    </row>
    <row r="65" spans="1:11" x14ac:dyDescent="0.25">
      <c r="A65" s="202"/>
      <c r="B65" s="196" t="s">
        <v>37</v>
      </c>
      <c r="C65" s="195">
        <v>40</v>
      </c>
      <c r="D65" s="197">
        <v>2</v>
      </c>
      <c r="E65" s="197">
        <v>0.16</v>
      </c>
      <c r="F65" s="197">
        <v>16</v>
      </c>
      <c r="G65" s="197">
        <v>77.040000000000006</v>
      </c>
    </row>
    <row r="66" spans="1:11" x14ac:dyDescent="0.25">
      <c r="A66" s="210"/>
      <c r="B66" s="210"/>
      <c r="C66" s="201"/>
      <c r="D66" s="197"/>
      <c r="E66" s="197"/>
      <c r="F66" s="197"/>
      <c r="G66" s="197"/>
    </row>
    <row r="67" spans="1:11" ht="27.9" customHeight="1" x14ac:dyDescent="0.25">
      <c r="A67" s="209" t="s">
        <v>217</v>
      </c>
      <c r="B67" s="209"/>
      <c r="C67" s="209"/>
      <c r="D67" s="200"/>
      <c r="E67" s="200"/>
      <c r="F67" s="200"/>
      <c r="G67" s="200"/>
    </row>
    <row r="68" spans="1:11" ht="18.75" customHeight="1" x14ac:dyDescent="0.25">
      <c r="A68" s="195"/>
      <c r="B68" s="208" t="s">
        <v>67</v>
      </c>
      <c r="C68" s="208"/>
      <c r="D68" s="200">
        <f>D69+D70+D71+D72+D73</f>
        <v>16.05</v>
      </c>
      <c r="E68" s="200">
        <f>E69+E70+E71+E72+E73</f>
        <v>18.919999999999998</v>
      </c>
      <c r="F68" s="200">
        <f>F69+F70+F71+F72+F73</f>
        <v>84.01</v>
      </c>
      <c r="G68" s="200">
        <f>G69+G70+G71+G72+G73</f>
        <v>583.654</v>
      </c>
    </row>
    <row r="69" spans="1:11" ht="26.4" x14ac:dyDescent="0.25">
      <c r="A69" s="195" t="s">
        <v>124</v>
      </c>
      <c r="B69" s="196" t="s">
        <v>248</v>
      </c>
      <c r="C69" s="195">
        <v>200</v>
      </c>
      <c r="D69" s="197">
        <v>3.96</v>
      </c>
      <c r="E69" s="197">
        <v>4.8600000000000003</v>
      </c>
      <c r="F69" s="197">
        <v>17.010000000000002</v>
      </c>
      <c r="G69" s="197">
        <v>131.81399999999999</v>
      </c>
    </row>
    <row r="70" spans="1:11" x14ac:dyDescent="0.25">
      <c r="A70" s="193" t="s">
        <v>255</v>
      </c>
      <c r="B70" s="196" t="s">
        <v>138</v>
      </c>
      <c r="C70" s="195">
        <v>115</v>
      </c>
      <c r="D70" s="197">
        <v>6.32</v>
      </c>
      <c r="E70" s="197">
        <v>8.7899999999999991</v>
      </c>
      <c r="F70" s="197">
        <v>19.37</v>
      </c>
      <c r="G70" s="197">
        <v>187.01</v>
      </c>
    </row>
    <row r="71" spans="1:11" x14ac:dyDescent="0.25">
      <c r="A71" s="193" t="s">
        <v>38</v>
      </c>
      <c r="B71" s="196" t="s">
        <v>36</v>
      </c>
      <c r="C71" s="195">
        <v>150</v>
      </c>
      <c r="D71" s="197">
        <v>4.7699999999999996</v>
      </c>
      <c r="E71" s="197">
        <v>5.19</v>
      </c>
      <c r="F71" s="197">
        <v>29.63</v>
      </c>
      <c r="G71" s="197">
        <v>184.31</v>
      </c>
    </row>
    <row r="72" spans="1:11" x14ac:dyDescent="0.25">
      <c r="A72" s="193" t="s">
        <v>164</v>
      </c>
      <c r="B72" s="196" t="s">
        <v>10</v>
      </c>
      <c r="C72" s="202">
        <v>200</v>
      </c>
      <c r="D72" s="197">
        <v>0</v>
      </c>
      <c r="E72" s="197">
        <v>0</v>
      </c>
      <c r="F72" s="197">
        <v>10</v>
      </c>
      <c r="G72" s="197">
        <v>42</v>
      </c>
    </row>
    <row r="73" spans="1:11" ht="12" customHeight="1" x14ac:dyDescent="0.25">
      <c r="A73" s="202"/>
      <c r="B73" s="196" t="s">
        <v>37</v>
      </c>
      <c r="C73" s="195">
        <v>20</v>
      </c>
      <c r="D73" s="197">
        <v>1</v>
      </c>
      <c r="E73" s="197">
        <v>0.08</v>
      </c>
      <c r="F73" s="197">
        <v>8</v>
      </c>
      <c r="G73" s="197">
        <v>38.520000000000003</v>
      </c>
    </row>
    <row r="74" spans="1:11" x14ac:dyDescent="0.25">
      <c r="A74" s="210"/>
      <c r="B74" s="210"/>
      <c r="C74" s="201"/>
      <c r="D74" s="197"/>
      <c r="E74" s="197"/>
      <c r="F74" s="197"/>
      <c r="G74" s="197"/>
    </row>
    <row r="75" spans="1:11" ht="27.9" customHeight="1" x14ac:dyDescent="0.25">
      <c r="A75" s="209" t="s">
        <v>218</v>
      </c>
      <c r="B75" s="209"/>
      <c r="C75" s="209"/>
      <c r="D75" s="200"/>
      <c r="E75" s="200"/>
      <c r="F75" s="200"/>
      <c r="G75" s="200"/>
      <c r="H75" s="186"/>
      <c r="I75" s="186"/>
      <c r="J75" s="186"/>
      <c r="K75" s="187"/>
    </row>
    <row r="76" spans="1:11" x14ac:dyDescent="0.25">
      <c r="A76" s="195"/>
      <c r="B76" s="208" t="s">
        <v>67</v>
      </c>
      <c r="C76" s="208"/>
      <c r="D76" s="200">
        <f>D77+D79+D80+D81</f>
        <v>26.210000000000004</v>
      </c>
      <c r="E76" s="200">
        <f>E77+E79+E80+E81</f>
        <v>16.579999999999998</v>
      </c>
      <c r="F76" s="200">
        <f>F77+F79+F80+F81</f>
        <v>84.830000000000013</v>
      </c>
      <c r="G76" s="200">
        <f>+G77+G79+G80+G81</f>
        <v>612.33600000000001</v>
      </c>
      <c r="H76" s="188"/>
      <c r="I76" s="188"/>
      <c r="J76" s="189"/>
    </row>
    <row r="77" spans="1:11" x14ac:dyDescent="0.25">
      <c r="A77" s="195" t="s">
        <v>168</v>
      </c>
      <c r="B77" s="196" t="s">
        <v>256</v>
      </c>
      <c r="C77" s="195">
        <v>200</v>
      </c>
      <c r="D77" s="197">
        <v>6.51</v>
      </c>
      <c r="E77" s="197">
        <v>12.28</v>
      </c>
      <c r="F77" s="197">
        <v>11.17</v>
      </c>
      <c r="G77" s="197">
        <v>187.77600000000001</v>
      </c>
      <c r="H77" s="188"/>
      <c r="I77" s="188"/>
      <c r="J77" s="189"/>
    </row>
    <row r="78" spans="1:11" ht="24.75" customHeight="1" x14ac:dyDescent="0.25">
      <c r="A78" s="195" t="s">
        <v>205</v>
      </c>
      <c r="B78" s="196" t="s">
        <v>147</v>
      </c>
      <c r="C78" s="195">
        <v>110</v>
      </c>
      <c r="D78" s="197">
        <v>8.73</v>
      </c>
      <c r="E78" s="197">
        <v>22.34</v>
      </c>
      <c r="F78" s="197">
        <v>12.38</v>
      </c>
      <c r="G78" s="197">
        <v>285.5</v>
      </c>
      <c r="H78" s="188"/>
      <c r="I78" s="188"/>
      <c r="J78" s="189"/>
    </row>
    <row r="79" spans="1:11" ht="17.25" customHeight="1" x14ac:dyDescent="0.25">
      <c r="A79" s="193" t="s">
        <v>134</v>
      </c>
      <c r="B79" s="196" t="s">
        <v>148</v>
      </c>
      <c r="C79" s="195">
        <v>150</v>
      </c>
      <c r="D79" s="197">
        <v>16.260000000000002</v>
      </c>
      <c r="E79" s="197">
        <v>4.03</v>
      </c>
      <c r="F79" s="197">
        <v>33.97</v>
      </c>
      <c r="G79" s="197">
        <v>247.3</v>
      </c>
      <c r="H79" s="188"/>
      <c r="I79" s="188"/>
      <c r="J79" s="189"/>
    </row>
    <row r="80" spans="1:11" ht="12" customHeight="1" x14ac:dyDescent="0.25">
      <c r="A80" s="193" t="s">
        <v>228</v>
      </c>
      <c r="B80" s="205" t="s">
        <v>242</v>
      </c>
      <c r="C80" s="195">
        <v>200</v>
      </c>
      <c r="D80" s="197">
        <v>1.92</v>
      </c>
      <c r="E80" s="197">
        <v>0.11</v>
      </c>
      <c r="F80" s="197">
        <v>29.85</v>
      </c>
      <c r="G80" s="197">
        <v>128.09</v>
      </c>
      <c r="H80" s="188"/>
      <c r="I80" s="188"/>
      <c r="J80" s="189"/>
    </row>
    <row r="81" spans="1:10" x14ac:dyDescent="0.25">
      <c r="A81" s="193"/>
      <c r="B81" s="196" t="s">
        <v>11</v>
      </c>
      <c r="C81" s="195">
        <v>20</v>
      </c>
      <c r="D81" s="197">
        <v>1.52</v>
      </c>
      <c r="E81" s="197">
        <v>0.16</v>
      </c>
      <c r="F81" s="197">
        <v>9.84</v>
      </c>
      <c r="G81" s="197">
        <v>49.17</v>
      </c>
      <c r="H81" s="188"/>
      <c r="I81" s="188"/>
      <c r="J81" s="189"/>
    </row>
    <row r="82" spans="1:10" x14ac:dyDescent="0.25">
      <c r="A82" s="210"/>
      <c r="B82" s="210"/>
      <c r="C82" s="201"/>
      <c r="D82" s="197"/>
      <c r="E82" s="197"/>
      <c r="F82" s="197"/>
      <c r="G82" s="197"/>
      <c r="H82" s="188"/>
      <c r="I82" s="188"/>
      <c r="J82" s="189"/>
    </row>
    <row r="83" spans="1:10" x14ac:dyDescent="0.25">
      <c r="A83" s="209" t="s">
        <v>232</v>
      </c>
      <c r="B83" s="209"/>
      <c r="C83" s="209"/>
      <c r="D83" s="200"/>
      <c r="E83" s="200"/>
      <c r="F83" s="200"/>
      <c r="G83" s="200"/>
    </row>
    <row r="84" spans="1:10" ht="24.75" customHeight="1" x14ac:dyDescent="0.25">
      <c r="A84" s="193"/>
      <c r="B84" s="208" t="s">
        <v>67</v>
      </c>
      <c r="C84" s="208"/>
      <c r="D84" s="194">
        <f>D85+D86+D87+D88+D89</f>
        <v>20.77</v>
      </c>
      <c r="E84" s="194">
        <f>E85+E86+E87+E88+E89</f>
        <v>22.090000000000003</v>
      </c>
      <c r="F84" s="194">
        <f>F85+F86+F87+F88+F89</f>
        <v>95.89</v>
      </c>
      <c r="G84" s="194">
        <f>+G85+G86+G87+G88+G89</f>
        <v>676.59999999999991</v>
      </c>
    </row>
    <row r="85" spans="1:10" x14ac:dyDescent="0.25">
      <c r="A85" s="195" t="s">
        <v>167</v>
      </c>
      <c r="B85" s="196" t="s">
        <v>246</v>
      </c>
      <c r="C85" s="195">
        <v>200</v>
      </c>
      <c r="D85" s="197">
        <v>4.57</v>
      </c>
      <c r="E85" s="197">
        <v>12.24</v>
      </c>
      <c r="F85" s="197">
        <v>19.04</v>
      </c>
      <c r="G85" s="197">
        <v>204.6</v>
      </c>
    </row>
    <row r="86" spans="1:10" x14ac:dyDescent="0.25">
      <c r="A86" s="193" t="s">
        <v>258</v>
      </c>
      <c r="B86" s="196" t="s">
        <v>257</v>
      </c>
      <c r="C86" s="195">
        <v>50</v>
      </c>
      <c r="D86" s="197">
        <v>8.58</v>
      </c>
      <c r="E86" s="197">
        <v>6.75</v>
      </c>
      <c r="F86" s="197">
        <v>5.87</v>
      </c>
      <c r="G86" s="197">
        <v>118.55</v>
      </c>
    </row>
    <row r="87" spans="1:10" x14ac:dyDescent="0.25">
      <c r="A87" s="195" t="s">
        <v>33</v>
      </c>
      <c r="B87" s="196" t="s">
        <v>12</v>
      </c>
      <c r="C87" s="195">
        <v>150</v>
      </c>
      <c r="D87" s="197">
        <v>5.64</v>
      </c>
      <c r="E87" s="197">
        <v>2.84</v>
      </c>
      <c r="F87" s="197">
        <v>36</v>
      </c>
      <c r="G87" s="197">
        <v>201</v>
      </c>
    </row>
    <row r="88" spans="1:10" x14ac:dyDescent="0.25">
      <c r="A88" s="193" t="s">
        <v>228</v>
      </c>
      <c r="B88" s="205" t="s">
        <v>227</v>
      </c>
      <c r="C88" s="195">
        <v>200</v>
      </c>
      <c r="D88" s="197">
        <v>0.46</v>
      </c>
      <c r="E88" s="197">
        <v>0.1</v>
      </c>
      <c r="F88" s="197">
        <v>25.14</v>
      </c>
      <c r="G88" s="197">
        <v>103.28</v>
      </c>
    </row>
    <row r="89" spans="1:10" x14ac:dyDescent="0.25">
      <c r="A89" s="195"/>
      <c r="B89" s="196" t="s">
        <v>11</v>
      </c>
      <c r="C89" s="195">
        <v>20</v>
      </c>
      <c r="D89" s="197">
        <v>1.52</v>
      </c>
      <c r="E89" s="197">
        <v>0.16</v>
      </c>
      <c r="F89" s="197">
        <v>9.84</v>
      </c>
      <c r="G89" s="197">
        <v>49.17</v>
      </c>
    </row>
    <row r="90" spans="1:10" x14ac:dyDescent="0.25">
      <c r="A90" s="210"/>
      <c r="B90" s="210"/>
      <c r="C90" s="198"/>
      <c r="D90" s="199"/>
      <c r="E90" s="199"/>
      <c r="F90" s="199"/>
      <c r="G90" s="199"/>
    </row>
    <row r="91" spans="1:10" x14ac:dyDescent="0.25">
      <c r="A91" s="209" t="s">
        <v>233</v>
      </c>
      <c r="B91" s="209"/>
      <c r="C91" s="209"/>
      <c r="D91" s="200"/>
      <c r="E91" s="200"/>
      <c r="F91" s="200"/>
      <c r="G91" s="200"/>
    </row>
    <row r="92" spans="1:10" x14ac:dyDescent="0.25">
      <c r="A92" s="195"/>
      <c r="B92" s="208" t="s">
        <v>67</v>
      </c>
      <c r="C92" s="208"/>
      <c r="D92" s="200">
        <f>D93+D94+D95+D96+D97</f>
        <v>13.89</v>
      </c>
      <c r="E92" s="200">
        <f>E93+E94+E95+E96+E97</f>
        <v>37.26</v>
      </c>
      <c r="F92" s="200">
        <f>F93+F94+F95+F96+F97</f>
        <v>55.41</v>
      </c>
      <c r="G92" s="200">
        <f>G93+G94+G95+G96+G97</f>
        <v>622.01</v>
      </c>
    </row>
    <row r="93" spans="1:10" x14ac:dyDescent="0.25">
      <c r="A93" s="195" t="s">
        <v>259</v>
      </c>
      <c r="B93" s="196" t="s">
        <v>260</v>
      </c>
      <c r="C93" s="195">
        <v>200</v>
      </c>
      <c r="D93" s="197">
        <v>2.44</v>
      </c>
      <c r="E93" s="197">
        <v>9.16</v>
      </c>
      <c r="F93" s="197">
        <v>10.08</v>
      </c>
      <c r="G93" s="197">
        <v>132.52000000000001</v>
      </c>
    </row>
    <row r="94" spans="1:10" x14ac:dyDescent="0.25">
      <c r="A94" s="193" t="s">
        <v>261</v>
      </c>
      <c r="B94" s="196" t="s">
        <v>262</v>
      </c>
      <c r="C94" s="195">
        <v>80</v>
      </c>
      <c r="D94" s="197">
        <v>6.79</v>
      </c>
      <c r="E94" s="197">
        <v>24.67</v>
      </c>
      <c r="F94" s="197">
        <v>3.15</v>
      </c>
      <c r="G94" s="197">
        <v>261.82</v>
      </c>
    </row>
    <row r="95" spans="1:10" x14ac:dyDescent="0.25">
      <c r="A95" s="195" t="s">
        <v>226</v>
      </c>
      <c r="B95" s="196" t="s">
        <v>247</v>
      </c>
      <c r="C95" s="195">
        <v>150</v>
      </c>
      <c r="D95" s="197">
        <v>3.14</v>
      </c>
      <c r="E95" s="197">
        <v>3.27</v>
      </c>
      <c r="F95" s="197">
        <v>22.34</v>
      </c>
      <c r="G95" s="197">
        <v>136.5</v>
      </c>
    </row>
    <row r="96" spans="1:10" x14ac:dyDescent="0.25">
      <c r="A96" s="193" t="s">
        <v>164</v>
      </c>
      <c r="B96" s="196" t="s">
        <v>10</v>
      </c>
      <c r="C96" s="195">
        <v>200</v>
      </c>
      <c r="D96" s="197">
        <v>0</v>
      </c>
      <c r="E96" s="197">
        <v>0</v>
      </c>
      <c r="F96" s="197">
        <v>10</v>
      </c>
      <c r="G96" s="197">
        <v>42</v>
      </c>
    </row>
    <row r="97" spans="1:7" x14ac:dyDescent="0.25">
      <c r="A97" s="195"/>
      <c r="B97" s="196" t="s">
        <v>11</v>
      </c>
      <c r="C97" s="195">
        <v>20</v>
      </c>
      <c r="D97" s="197">
        <v>1.52</v>
      </c>
      <c r="E97" s="197">
        <v>0.16</v>
      </c>
      <c r="F97" s="197">
        <v>9.84</v>
      </c>
      <c r="G97" s="197">
        <v>49.17</v>
      </c>
    </row>
    <row r="98" spans="1:7" x14ac:dyDescent="0.25">
      <c r="A98" s="210"/>
      <c r="B98" s="210"/>
      <c r="C98" s="201"/>
      <c r="D98" s="197"/>
      <c r="E98" s="197"/>
      <c r="F98" s="197"/>
      <c r="G98" s="197"/>
    </row>
    <row r="99" spans="1:7" ht="25.5" customHeight="1" x14ac:dyDescent="0.25">
      <c r="A99" s="209" t="s">
        <v>234</v>
      </c>
      <c r="B99" s="209"/>
      <c r="C99" s="209"/>
      <c r="D99" s="200"/>
      <c r="E99" s="200"/>
      <c r="F99" s="200"/>
      <c r="G99" s="200"/>
    </row>
    <row r="100" spans="1:7" x14ac:dyDescent="0.25">
      <c r="A100" s="195"/>
      <c r="B100" s="208" t="s">
        <v>67</v>
      </c>
      <c r="C100" s="208"/>
      <c r="D100" s="200">
        <f>D101+D102+D103+D104+D105</f>
        <v>19.02</v>
      </c>
      <c r="E100" s="200">
        <f>E101+E102+E103+E104+E105</f>
        <v>13.110000000000001</v>
      </c>
      <c r="F100" s="200">
        <f>F101+F102+F103+F104+F105</f>
        <v>77.84</v>
      </c>
      <c r="G100" s="200">
        <f>G101+G102+G103+G104+G105</f>
        <v>517.99</v>
      </c>
    </row>
    <row r="101" spans="1:7" x14ac:dyDescent="0.25">
      <c r="A101" s="195" t="s">
        <v>264</v>
      </c>
      <c r="B101" s="196" t="s">
        <v>263</v>
      </c>
      <c r="C101" s="195">
        <v>200</v>
      </c>
      <c r="D101" s="197">
        <v>1.83</v>
      </c>
      <c r="E101" s="197">
        <v>4.7</v>
      </c>
      <c r="F101" s="197">
        <v>13.54</v>
      </c>
      <c r="G101" s="197">
        <v>103.78</v>
      </c>
    </row>
    <row r="102" spans="1:7" x14ac:dyDescent="0.25">
      <c r="A102" s="195" t="s">
        <v>230</v>
      </c>
      <c r="B102" s="196" t="s">
        <v>229</v>
      </c>
      <c r="C102" s="195">
        <v>100</v>
      </c>
      <c r="D102" s="197">
        <v>12.38</v>
      </c>
      <c r="E102" s="197">
        <v>5.61</v>
      </c>
      <c r="F102" s="197">
        <v>6.3</v>
      </c>
      <c r="G102" s="197">
        <v>125.21</v>
      </c>
    </row>
    <row r="103" spans="1:7" x14ac:dyDescent="0.25">
      <c r="A103" s="195" t="s">
        <v>171</v>
      </c>
      <c r="B103" s="196" t="s">
        <v>150</v>
      </c>
      <c r="C103" s="195">
        <v>150</v>
      </c>
      <c r="D103" s="197">
        <v>3.81</v>
      </c>
      <c r="E103" s="197">
        <v>2.72</v>
      </c>
      <c r="F103" s="197">
        <v>40</v>
      </c>
      <c r="G103" s="197">
        <v>208.48</v>
      </c>
    </row>
    <row r="104" spans="1:7" x14ac:dyDescent="0.25">
      <c r="A104" s="193" t="s">
        <v>164</v>
      </c>
      <c r="B104" s="196" t="s">
        <v>10</v>
      </c>
      <c r="C104" s="195">
        <v>200</v>
      </c>
      <c r="D104" s="197">
        <v>0</v>
      </c>
      <c r="E104" s="197">
        <v>0</v>
      </c>
      <c r="F104" s="197">
        <v>10</v>
      </c>
      <c r="G104" s="197">
        <v>42</v>
      </c>
    </row>
    <row r="105" spans="1:7" x14ac:dyDescent="0.25">
      <c r="A105" s="202"/>
      <c r="B105" s="196" t="s">
        <v>37</v>
      </c>
      <c r="C105" s="195">
        <v>20</v>
      </c>
      <c r="D105" s="197">
        <v>1</v>
      </c>
      <c r="E105" s="197">
        <v>0.08</v>
      </c>
      <c r="F105" s="197">
        <v>8</v>
      </c>
      <c r="G105" s="197">
        <v>38.520000000000003</v>
      </c>
    </row>
    <row r="106" spans="1:7" x14ac:dyDescent="0.25">
      <c r="A106" s="210"/>
      <c r="B106" s="210"/>
      <c r="C106" s="201"/>
      <c r="D106" s="197"/>
      <c r="E106" s="197"/>
      <c r="F106" s="197"/>
      <c r="G106" s="197"/>
    </row>
    <row r="107" spans="1:7" ht="28.5" customHeight="1" x14ac:dyDescent="0.25">
      <c r="A107" s="209" t="s">
        <v>235</v>
      </c>
      <c r="B107" s="209"/>
      <c r="C107" s="209"/>
      <c r="D107" s="200"/>
      <c r="E107" s="200"/>
      <c r="F107" s="200"/>
      <c r="G107" s="200"/>
    </row>
    <row r="108" spans="1:7" ht="19.5" customHeight="1" x14ac:dyDescent="0.25">
      <c r="A108" s="195"/>
      <c r="B108" s="208" t="s">
        <v>67</v>
      </c>
      <c r="C108" s="208"/>
      <c r="D108" s="200">
        <f>D109+D110+D111+D112</f>
        <v>21.58</v>
      </c>
      <c r="E108" s="200">
        <f>E109+E110+E111+E112</f>
        <v>35.729999999999997</v>
      </c>
      <c r="F108" s="200">
        <f>F109+F110+F111+F112</f>
        <v>108.74</v>
      </c>
      <c r="G108" s="200">
        <f>G109+G110+G111+G112</f>
        <v>853.22599999999989</v>
      </c>
    </row>
    <row r="109" spans="1:7" ht="21.75" customHeight="1" x14ac:dyDescent="0.25">
      <c r="A109" s="195" t="s">
        <v>168</v>
      </c>
      <c r="B109" s="196" t="s">
        <v>256</v>
      </c>
      <c r="C109" s="195">
        <v>200</v>
      </c>
      <c r="D109" s="197">
        <v>6.51</v>
      </c>
      <c r="E109" s="197">
        <v>12.28</v>
      </c>
      <c r="F109" s="197">
        <v>11.17</v>
      </c>
      <c r="G109" s="197">
        <v>187.77600000000001</v>
      </c>
    </row>
    <row r="110" spans="1:7" x14ac:dyDescent="0.25">
      <c r="A110" s="195" t="s">
        <v>223</v>
      </c>
      <c r="B110" s="196" t="s">
        <v>224</v>
      </c>
      <c r="C110" s="195">
        <v>175</v>
      </c>
      <c r="D110" s="197">
        <v>14.07</v>
      </c>
      <c r="E110" s="197">
        <v>23.37</v>
      </c>
      <c r="F110" s="197">
        <v>79.569999999999993</v>
      </c>
      <c r="G110" s="197">
        <v>584.92999999999995</v>
      </c>
    </row>
    <row r="111" spans="1:7" x14ac:dyDescent="0.25">
      <c r="A111" s="193" t="s">
        <v>164</v>
      </c>
      <c r="B111" s="196" t="s">
        <v>10</v>
      </c>
      <c r="C111" s="195">
        <v>200</v>
      </c>
      <c r="D111" s="197">
        <v>0</v>
      </c>
      <c r="E111" s="197">
        <v>0</v>
      </c>
      <c r="F111" s="197">
        <v>10</v>
      </c>
      <c r="G111" s="197">
        <v>42</v>
      </c>
    </row>
    <row r="112" spans="1:7" x14ac:dyDescent="0.25">
      <c r="A112" s="202"/>
      <c r="B112" s="196" t="s">
        <v>37</v>
      </c>
      <c r="C112" s="195">
        <v>20</v>
      </c>
      <c r="D112" s="197">
        <v>1</v>
      </c>
      <c r="E112" s="197">
        <v>0.08</v>
      </c>
      <c r="F112" s="197">
        <v>8</v>
      </c>
      <c r="G112" s="197">
        <v>38.520000000000003</v>
      </c>
    </row>
    <row r="113" spans="1:7" x14ac:dyDescent="0.25">
      <c r="A113" s="210"/>
      <c r="B113" s="210"/>
      <c r="C113" s="201"/>
      <c r="D113" s="197"/>
      <c r="E113" s="197"/>
      <c r="F113" s="197"/>
      <c r="G113" s="197"/>
    </row>
    <row r="114" spans="1:7" ht="26.25" customHeight="1" x14ac:dyDescent="0.25">
      <c r="A114" s="209" t="s">
        <v>236</v>
      </c>
      <c r="B114" s="209"/>
      <c r="C114" s="209"/>
      <c r="D114" s="200"/>
      <c r="E114" s="200"/>
      <c r="F114" s="200"/>
      <c r="G114" s="200"/>
    </row>
    <row r="115" spans="1:7" x14ac:dyDescent="0.25">
      <c r="A115" s="195"/>
      <c r="B115" s="208" t="s">
        <v>67</v>
      </c>
      <c r="C115" s="208"/>
      <c r="D115" s="200">
        <f>D116+D117+D118+D119+D120</f>
        <v>20.759999999999998</v>
      </c>
      <c r="E115" s="200">
        <f>E116+E117+E118+E119+E120</f>
        <v>25.509999999999998</v>
      </c>
      <c r="F115" s="200">
        <f>F116+F117+F118+F119+F120</f>
        <v>66.16</v>
      </c>
      <c r="G115" s="200">
        <f>G116+G117+G118+G119+G120</f>
        <v>581.76</v>
      </c>
    </row>
    <row r="116" spans="1:7" x14ac:dyDescent="0.25">
      <c r="A116" s="195" t="s">
        <v>167</v>
      </c>
      <c r="B116" s="196" t="s">
        <v>246</v>
      </c>
      <c r="C116" s="195">
        <v>200</v>
      </c>
      <c r="D116" s="197">
        <v>4.57</v>
      </c>
      <c r="E116" s="197">
        <v>12.24</v>
      </c>
      <c r="F116" s="197">
        <v>19.04</v>
      </c>
      <c r="G116" s="197">
        <v>204.6</v>
      </c>
    </row>
    <row r="117" spans="1:7" ht="21.75" customHeight="1" x14ac:dyDescent="0.25">
      <c r="A117" s="195" t="s">
        <v>266</v>
      </c>
      <c r="B117" s="196" t="s">
        <v>265</v>
      </c>
      <c r="C117" s="195">
        <v>70</v>
      </c>
      <c r="D117" s="197">
        <v>9.43</v>
      </c>
      <c r="E117" s="197">
        <v>6.09</v>
      </c>
      <c r="F117" s="197">
        <v>6.31</v>
      </c>
      <c r="G117" s="197">
        <v>117.78</v>
      </c>
    </row>
    <row r="118" spans="1:7" x14ac:dyDescent="0.25">
      <c r="A118" s="193" t="s">
        <v>226</v>
      </c>
      <c r="B118" s="196" t="s">
        <v>225</v>
      </c>
      <c r="C118" s="195">
        <v>150</v>
      </c>
      <c r="D118" s="197">
        <v>4.6100000000000003</v>
      </c>
      <c r="E118" s="197">
        <v>7.1</v>
      </c>
      <c r="F118" s="197">
        <v>20.78</v>
      </c>
      <c r="G118" s="197">
        <v>165.46</v>
      </c>
    </row>
    <row r="119" spans="1:7" x14ac:dyDescent="0.25">
      <c r="A119" s="195" t="s">
        <v>42</v>
      </c>
      <c r="B119" s="196" t="s">
        <v>245</v>
      </c>
      <c r="C119" s="195">
        <v>200</v>
      </c>
      <c r="D119" s="197">
        <v>1.1499999999999999</v>
      </c>
      <c r="E119" s="197"/>
      <c r="F119" s="197">
        <v>12.03</v>
      </c>
      <c r="G119" s="197">
        <v>55.4</v>
      </c>
    </row>
    <row r="120" spans="1:7" x14ac:dyDescent="0.25">
      <c r="A120" s="202"/>
      <c r="B120" s="196" t="s">
        <v>37</v>
      </c>
      <c r="C120" s="195">
        <v>20</v>
      </c>
      <c r="D120" s="197">
        <v>1</v>
      </c>
      <c r="E120" s="197">
        <v>0.08</v>
      </c>
      <c r="F120" s="197">
        <v>8</v>
      </c>
      <c r="G120" s="197">
        <v>38.520000000000003</v>
      </c>
    </row>
    <row r="121" spans="1:7" x14ac:dyDescent="0.25">
      <c r="A121" s="210"/>
      <c r="B121" s="210"/>
      <c r="C121" s="201"/>
      <c r="D121" s="197"/>
      <c r="E121" s="197"/>
      <c r="F121" s="197"/>
      <c r="G121" s="197"/>
    </row>
    <row r="122" spans="1:7" ht="24" customHeight="1" x14ac:dyDescent="0.25">
      <c r="A122" s="209" t="s">
        <v>237</v>
      </c>
      <c r="B122" s="209"/>
      <c r="C122" s="209"/>
      <c r="D122" s="200"/>
      <c r="E122" s="200"/>
      <c r="F122" s="200"/>
      <c r="G122" s="200"/>
    </row>
    <row r="123" spans="1:7" x14ac:dyDescent="0.25">
      <c r="A123" s="193"/>
      <c r="B123" s="208" t="s">
        <v>67</v>
      </c>
      <c r="C123" s="208"/>
      <c r="D123" s="194">
        <f>D124+D125+D126+D127+D128</f>
        <v>32.29</v>
      </c>
      <c r="E123" s="194">
        <f>E124+E125+E126+E127+E128</f>
        <v>24.05</v>
      </c>
      <c r="F123" s="194">
        <f>F124+F125+F126+F127+F128</f>
        <v>99.43</v>
      </c>
      <c r="G123" s="194">
        <f>G124+G125+G126+G127+G128</f>
        <v>763.40400000000011</v>
      </c>
    </row>
    <row r="124" spans="1:7" ht="26.4" x14ac:dyDescent="0.25">
      <c r="A124" s="195" t="s">
        <v>124</v>
      </c>
      <c r="B124" s="196" t="s">
        <v>248</v>
      </c>
      <c r="C124" s="195">
        <v>200</v>
      </c>
      <c r="D124" s="197">
        <v>3.96</v>
      </c>
      <c r="E124" s="197">
        <v>4.8600000000000003</v>
      </c>
      <c r="F124" s="197">
        <v>17.010000000000002</v>
      </c>
      <c r="G124" s="197">
        <v>131.81399999999999</v>
      </c>
    </row>
    <row r="125" spans="1:7" x14ac:dyDescent="0.25">
      <c r="A125" s="193" t="s">
        <v>222</v>
      </c>
      <c r="B125" s="196" t="s">
        <v>152</v>
      </c>
      <c r="C125" s="203">
        <v>110</v>
      </c>
      <c r="D125" s="197">
        <v>9.15</v>
      </c>
      <c r="E125" s="197">
        <v>14.97</v>
      </c>
      <c r="F125" s="197">
        <v>10.6</v>
      </c>
      <c r="G125" s="197">
        <v>217.68</v>
      </c>
    </row>
    <row r="126" spans="1:7" x14ac:dyDescent="0.25">
      <c r="A126" s="193" t="s">
        <v>134</v>
      </c>
      <c r="B126" s="196" t="s">
        <v>148</v>
      </c>
      <c r="C126" s="195">
        <v>150</v>
      </c>
      <c r="D126" s="197">
        <v>16.260000000000002</v>
      </c>
      <c r="E126" s="197">
        <v>4.03</v>
      </c>
      <c r="F126" s="197">
        <v>33.97</v>
      </c>
      <c r="G126" s="197">
        <v>247.3</v>
      </c>
    </row>
    <row r="127" spans="1:7" x14ac:dyDescent="0.25">
      <c r="A127" s="193" t="s">
        <v>228</v>
      </c>
      <c r="B127" s="205" t="s">
        <v>242</v>
      </c>
      <c r="C127" s="195">
        <v>200</v>
      </c>
      <c r="D127" s="197">
        <v>1.92</v>
      </c>
      <c r="E127" s="197">
        <v>0.11</v>
      </c>
      <c r="F127" s="197">
        <v>29.85</v>
      </c>
      <c r="G127" s="197">
        <v>128.09</v>
      </c>
    </row>
    <row r="128" spans="1:7" x14ac:dyDescent="0.25">
      <c r="A128" s="202"/>
      <c r="B128" s="196" t="s">
        <v>37</v>
      </c>
      <c r="C128" s="195">
        <v>20</v>
      </c>
      <c r="D128" s="197">
        <v>1</v>
      </c>
      <c r="E128" s="197">
        <v>0.08</v>
      </c>
      <c r="F128" s="197">
        <v>8</v>
      </c>
      <c r="G128" s="197">
        <v>38.520000000000003</v>
      </c>
    </row>
    <row r="129" spans="1:7" x14ac:dyDescent="0.25">
      <c r="A129" s="210"/>
      <c r="B129" s="210"/>
      <c r="C129" s="201"/>
      <c r="D129" s="197"/>
      <c r="E129" s="197"/>
      <c r="F129" s="197"/>
      <c r="G129" s="197"/>
    </row>
    <row r="130" spans="1:7" ht="24" customHeight="1" x14ac:dyDescent="0.25">
      <c r="A130" s="209" t="s">
        <v>238</v>
      </c>
      <c r="B130" s="209"/>
      <c r="C130" s="209"/>
      <c r="D130" s="200"/>
      <c r="E130" s="200"/>
      <c r="F130" s="200"/>
      <c r="G130" s="200"/>
    </row>
    <row r="131" spans="1:7" x14ac:dyDescent="0.25">
      <c r="A131" s="195"/>
      <c r="B131" s="208" t="s">
        <v>67</v>
      </c>
      <c r="C131" s="208"/>
      <c r="D131" s="194">
        <f>D132+D133+D134+D135+D136</f>
        <v>17.78</v>
      </c>
      <c r="E131" s="194">
        <f>E132+E133+E134+E135+E136</f>
        <v>17.45</v>
      </c>
      <c r="F131" s="194">
        <f>F132+F133+F134+F135+F136</f>
        <v>68.73</v>
      </c>
      <c r="G131" s="194">
        <f>G132+G133+G134+G135+G136</f>
        <v>510.63</v>
      </c>
    </row>
    <row r="132" spans="1:7" x14ac:dyDescent="0.25">
      <c r="A132" s="193" t="s">
        <v>169</v>
      </c>
      <c r="B132" s="196" t="s">
        <v>254</v>
      </c>
      <c r="C132" s="203">
        <v>200</v>
      </c>
      <c r="D132" s="197">
        <v>6.65</v>
      </c>
      <c r="E132" s="197">
        <v>8.92</v>
      </c>
      <c r="F132" s="197">
        <v>15.49</v>
      </c>
      <c r="G132" s="197">
        <v>168.84</v>
      </c>
    </row>
    <row r="133" spans="1:7" ht="16.5" customHeight="1" x14ac:dyDescent="0.25">
      <c r="A133" s="195" t="s">
        <v>131</v>
      </c>
      <c r="B133" s="196" t="s">
        <v>272</v>
      </c>
      <c r="C133" s="195">
        <v>50</v>
      </c>
      <c r="D133" s="197">
        <v>6.58</v>
      </c>
      <c r="E133" s="197">
        <v>5.59</v>
      </c>
      <c r="F133" s="197">
        <v>8.91</v>
      </c>
      <c r="G133" s="197">
        <v>115.56</v>
      </c>
    </row>
    <row r="134" spans="1:7" ht="16.5" customHeight="1" x14ac:dyDescent="0.25">
      <c r="A134" s="193" t="s">
        <v>250</v>
      </c>
      <c r="B134" s="196" t="s">
        <v>249</v>
      </c>
      <c r="C134" s="195">
        <v>150</v>
      </c>
      <c r="D134" s="197">
        <v>3.03</v>
      </c>
      <c r="E134" s="197">
        <v>2.78</v>
      </c>
      <c r="F134" s="197">
        <v>24.49</v>
      </c>
      <c r="G134" s="197">
        <v>135.06</v>
      </c>
    </row>
    <row r="135" spans="1:7" x14ac:dyDescent="0.25">
      <c r="A135" s="202" t="s">
        <v>164</v>
      </c>
      <c r="B135" s="196" t="s">
        <v>10</v>
      </c>
      <c r="C135" s="202">
        <v>200</v>
      </c>
      <c r="D135" s="197">
        <v>0</v>
      </c>
      <c r="E135" s="197">
        <v>0</v>
      </c>
      <c r="F135" s="197">
        <v>10</v>
      </c>
      <c r="G135" s="197">
        <v>42</v>
      </c>
    </row>
    <row r="136" spans="1:7" x14ac:dyDescent="0.25">
      <c r="A136" s="195"/>
      <c r="B136" s="196" t="s">
        <v>11</v>
      </c>
      <c r="C136" s="195">
        <v>20</v>
      </c>
      <c r="D136" s="197">
        <v>1.52</v>
      </c>
      <c r="E136" s="197">
        <v>0.16</v>
      </c>
      <c r="F136" s="197">
        <v>9.84</v>
      </c>
      <c r="G136" s="197">
        <v>49.17</v>
      </c>
    </row>
    <row r="137" spans="1:7" x14ac:dyDescent="0.25">
      <c r="A137" s="210"/>
      <c r="B137" s="210"/>
      <c r="C137" s="204"/>
      <c r="D137" s="197"/>
      <c r="E137" s="197"/>
      <c r="F137" s="197"/>
      <c r="G137" s="197"/>
    </row>
    <row r="138" spans="1:7" ht="24.75" customHeight="1" x14ac:dyDescent="0.25">
      <c r="A138" s="209" t="s">
        <v>239</v>
      </c>
      <c r="B138" s="209"/>
      <c r="C138" s="209"/>
      <c r="D138" s="200"/>
      <c r="E138" s="200"/>
      <c r="F138" s="200"/>
      <c r="G138" s="200"/>
    </row>
    <row r="139" spans="1:7" x14ac:dyDescent="0.25">
      <c r="A139" s="202"/>
      <c r="B139" s="208" t="s">
        <v>67</v>
      </c>
      <c r="C139" s="208"/>
      <c r="D139" s="200">
        <f>D140+D142+D143+D144</f>
        <v>12.76</v>
      </c>
      <c r="E139" s="200">
        <f>E140+E142+E143+E144</f>
        <v>18.809999999999999</v>
      </c>
      <c r="F139" s="200">
        <f>F140+F142+F143+F144</f>
        <v>73.88</v>
      </c>
      <c r="G139" s="200">
        <f>G140+G142+G143+G144</f>
        <v>520.14</v>
      </c>
    </row>
    <row r="140" spans="1:7" x14ac:dyDescent="0.25">
      <c r="A140" s="195" t="s">
        <v>166</v>
      </c>
      <c r="B140" s="196" t="s">
        <v>200</v>
      </c>
      <c r="C140" s="195">
        <v>200</v>
      </c>
      <c r="D140" s="197">
        <v>4.09</v>
      </c>
      <c r="E140" s="197">
        <v>10.61</v>
      </c>
      <c r="F140" s="197">
        <v>13.54</v>
      </c>
      <c r="G140" s="197">
        <v>166.01</v>
      </c>
    </row>
    <row r="141" spans="1:7" x14ac:dyDescent="0.25">
      <c r="A141" s="195" t="s">
        <v>271</v>
      </c>
      <c r="B141" s="196" t="s">
        <v>268</v>
      </c>
      <c r="C141" s="195">
        <v>105</v>
      </c>
      <c r="D141" s="197">
        <v>10.01</v>
      </c>
      <c r="E141" s="197">
        <v>9.7799999999999994</v>
      </c>
      <c r="F141" s="197">
        <v>15.2</v>
      </c>
      <c r="G141" s="197">
        <v>188.86</v>
      </c>
    </row>
    <row r="142" spans="1:7" ht="17.25" customHeight="1" x14ac:dyDescent="0.25">
      <c r="A142" s="195" t="s">
        <v>270</v>
      </c>
      <c r="B142" s="196" t="s">
        <v>269</v>
      </c>
      <c r="C142" s="195">
        <v>150</v>
      </c>
      <c r="D142" s="197">
        <v>7.15</v>
      </c>
      <c r="E142" s="197">
        <v>8.0399999999999991</v>
      </c>
      <c r="F142" s="197">
        <v>40.5</v>
      </c>
      <c r="G142" s="197">
        <v>262.95999999999998</v>
      </c>
    </row>
    <row r="143" spans="1:7" x14ac:dyDescent="0.25">
      <c r="A143" s="202" t="s">
        <v>164</v>
      </c>
      <c r="B143" s="196" t="s">
        <v>10</v>
      </c>
      <c r="C143" s="202">
        <v>200</v>
      </c>
      <c r="D143" s="197">
        <v>0</v>
      </c>
      <c r="E143" s="197">
        <v>0</v>
      </c>
      <c r="F143" s="197">
        <v>10</v>
      </c>
      <c r="G143" s="197">
        <v>42</v>
      </c>
    </row>
    <row r="144" spans="1:7" x14ac:dyDescent="0.25">
      <c r="A144" s="193"/>
      <c r="B144" s="196" t="s">
        <v>11</v>
      </c>
      <c r="C144" s="195">
        <v>20</v>
      </c>
      <c r="D144" s="197">
        <v>1.52</v>
      </c>
      <c r="E144" s="197">
        <v>0.16</v>
      </c>
      <c r="F144" s="197">
        <v>9.84</v>
      </c>
      <c r="G144" s="197">
        <v>49.17</v>
      </c>
    </row>
    <row r="145" spans="1:7" x14ac:dyDescent="0.25">
      <c r="A145" s="210"/>
      <c r="B145" s="210"/>
      <c r="C145" s="201"/>
      <c r="D145" s="197"/>
      <c r="E145" s="197"/>
      <c r="F145" s="197"/>
      <c r="G145" s="197"/>
    </row>
    <row r="146" spans="1:7" ht="26.25" customHeight="1" x14ac:dyDescent="0.25">
      <c r="A146" s="209" t="s">
        <v>240</v>
      </c>
      <c r="B146" s="209"/>
      <c r="C146" s="209"/>
      <c r="D146" s="200"/>
      <c r="E146" s="200"/>
      <c r="F146" s="200"/>
      <c r="G146" s="200"/>
    </row>
    <row r="147" spans="1:7" x14ac:dyDescent="0.25">
      <c r="A147" s="195"/>
      <c r="B147" s="208" t="s">
        <v>67</v>
      </c>
      <c r="C147" s="208"/>
      <c r="D147" s="200">
        <f>D148+D149+D150+D151+D152</f>
        <v>19.2</v>
      </c>
      <c r="E147" s="200">
        <f>E148+E149+E150+E151+E152</f>
        <v>24.03</v>
      </c>
      <c r="F147" s="200">
        <f>F148+F149+F150+F151+F152</f>
        <v>96.28</v>
      </c>
      <c r="G147" s="200">
        <f>G148+G149+G150+G151+G152</f>
        <v>697.18</v>
      </c>
    </row>
    <row r="148" spans="1:7" x14ac:dyDescent="0.25">
      <c r="A148" s="195" t="s">
        <v>167</v>
      </c>
      <c r="B148" s="196" t="s">
        <v>246</v>
      </c>
      <c r="C148" s="195">
        <v>200</v>
      </c>
      <c r="D148" s="197">
        <v>4.57</v>
      </c>
      <c r="E148" s="197">
        <v>12.24</v>
      </c>
      <c r="F148" s="197">
        <v>19.04</v>
      </c>
      <c r="G148" s="197">
        <v>204.6</v>
      </c>
    </row>
    <row r="149" spans="1:7" x14ac:dyDescent="0.25">
      <c r="A149" s="193" t="s">
        <v>255</v>
      </c>
      <c r="B149" s="196" t="s">
        <v>138</v>
      </c>
      <c r="C149" s="195">
        <v>115</v>
      </c>
      <c r="D149" s="197">
        <v>6.32</v>
      </c>
      <c r="E149" s="197">
        <v>8.7899999999999991</v>
      </c>
      <c r="F149" s="197">
        <v>19.37</v>
      </c>
      <c r="G149" s="197">
        <v>187.01</v>
      </c>
    </row>
    <row r="150" spans="1:7" x14ac:dyDescent="0.25">
      <c r="A150" s="195" t="s">
        <v>33</v>
      </c>
      <c r="B150" s="196" t="s">
        <v>12</v>
      </c>
      <c r="C150" s="195">
        <v>150</v>
      </c>
      <c r="D150" s="197">
        <v>5.64</v>
      </c>
      <c r="E150" s="197">
        <v>2.84</v>
      </c>
      <c r="F150" s="197">
        <v>36</v>
      </c>
      <c r="G150" s="197">
        <v>201</v>
      </c>
    </row>
    <row r="151" spans="1:7" ht="26.4" x14ac:dyDescent="0.25">
      <c r="A151" s="195" t="s">
        <v>42</v>
      </c>
      <c r="B151" s="196" t="s">
        <v>231</v>
      </c>
      <c r="C151" s="195">
        <v>200</v>
      </c>
      <c r="D151" s="197">
        <v>1.1499999999999999</v>
      </c>
      <c r="E151" s="197"/>
      <c r="F151" s="197">
        <v>12.03</v>
      </c>
      <c r="G151" s="197">
        <v>55.4</v>
      </c>
    </row>
    <row r="152" spans="1:7" x14ac:dyDescent="0.25">
      <c r="A152" s="195"/>
      <c r="B152" s="196" t="s">
        <v>11</v>
      </c>
      <c r="C152" s="195">
        <v>20</v>
      </c>
      <c r="D152" s="197">
        <v>1.52</v>
      </c>
      <c r="E152" s="197">
        <v>0.16</v>
      </c>
      <c r="F152" s="197">
        <v>9.84</v>
      </c>
      <c r="G152" s="197">
        <v>49.17</v>
      </c>
    </row>
    <row r="153" spans="1:7" x14ac:dyDescent="0.25">
      <c r="A153" s="210"/>
      <c r="B153" s="210"/>
      <c r="C153" s="201"/>
      <c r="D153" s="197"/>
      <c r="E153" s="197"/>
      <c r="F153" s="197"/>
      <c r="G153" s="197"/>
    </row>
    <row r="154" spans="1:7" ht="29.25" customHeight="1" x14ac:dyDescent="0.25">
      <c r="A154" s="209" t="s">
        <v>241</v>
      </c>
      <c r="B154" s="209"/>
      <c r="C154" s="209"/>
      <c r="D154" s="200"/>
      <c r="E154" s="200"/>
      <c r="F154" s="200"/>
      <c r="G154" s="200"/>
    </row>
    <row r="155" spans="1:7" x14ac:dyDescent="0.25">
      <c r="A155" s="195"/>
      <c r="B155" s="208" t="s">
        <v>67</v>
      </c>
      <c r="C155" s="208"/>
      <c r="D155" s="200">
        <f>D156+D157+D158+D159</f>
        <v>18.27</v>
      </c>
      <c r="E155" s="200">
        <f>E156+E157+E158+E159</f>
        <v>27.09</v>
      </c>
      <c r="F155" s="200">
        <f>F156+F157+F158+F159</f>
        <v>130.47999999999999</v>
      </c>
      <c r="G155" s="200">
        <f>G156+G157+G158+G159</f>
        <v>850.25999999999988</v>
      </c>
    </row>
    <row r="156" spans="1:7" x14ac:dyDescent="0.25">
      <c r="A156" s="195" t="s">
        <v>117</v>
      </c>
      <c r="B156" s="196" t="s">
        <v>199</v>
      </c>
      <c r="C156" s="195">
        <v>200</v>
      </c>
      <c r="D156" s="197">
        <v>2.64</v>
      </c>
      <c r="E156" s="197">
        <v>3.56</v>
      </c>
      <c r="F156" s="197">
        <v>11.76</v>
      </c>
      <c r="G156" s="197">
        <v>93</v>
      </c>
    </row>
    <row r="157" spans="1:7" x14ac:dyDescent="0.25">
      <c r="A157" s="195" t="s">
        <v>223</v>
      </c>
      <c r="B157" s="196" t="s">
        <v>224</v>
      </c>
      <c r="C157" s="195">
        <v>175</v>
      </c>
      <c r="D157" s="197">
        <v>14.09</v>
      </c>
      <c r="E157" s="197">
        <v>23.37</v>
      </c>
      <c r="F157" s="197">
        <v>79.569999999999993</v>
      </c>
      <c r="G157" s="197">
        <v>584.92999999999995</v>
      </c>
    </row>
    <row r="158" spans="1:7" ht="26.4" x14ac:dyDescent="0.25">
      <c r="A158" s="193" t="s">
        <v>40</v>
      </c>
      <c r="B158" s="196" t="s">
        <v>253</v>
      </c>
      <c r="C158" s="195">
        <v>200</v>
      </c>
      <c r="D158" s="197">
        <v>0.02</v>
      </c>
      <c r="E158" s="197"/>
      <c r="F158" s="197">
        <v>29.31</v>
      </c>
      <c r="G158" s="197">
        <v>123.16</v>
      </c>
    </row>
    <row r="159" spans="1:7" x14ac:dyDescent="0.25">
      <c r="A159" s="193"/>
      <c r="B159" s="196" t="s">
        <v>11</v>
      </c>
      <c r="C159" s="195">
        <v>20</v>
      </c>
      <c r="D159" s="197">
        <v>1.52</v>
      </c>
      <c r="E159" s="197">
        <v>0.16</v>
      </c>
      <c r="F159" s="197">
        <v>9.84</v>
      </c>
      <c r="G159" s="197">
        <v>49.17</v>
      </c>
    </row>
    <row r="160" spans="1:7" x14ac:dyDescent="0.25">
      <c r="A160" s="210"/>
      <c r="B160" s="210"/>
      <c r="C160" s="201"/>
      <c r="D160" s="197"/>
      <c r="E160" s="197"/>
      <c r="F160" s="197"/>
      <c r="G160" s="197"/>
    </row>
  </sheetData>
  <mergeCells count="66">
    <mergeCell ref="A154:C154"/>
    <mergeCell ref="B155:C155"/>
    <mergeCell ref="A160:B160"/>
    <mergeCell ref="A146:C146"/>
    <mergeCell ref="B147:C147"/>
    <mergeCell ref="A153:B153"/>
    <mergeCell ref="A138:C138"/>
    <mergeCell ref="B139:C139"/>
    <mergeCell ref="A145:B145"/>
    <mergeCell ref="A130:C130"/>
    <mergeCell ref="B131:C131"/>
    <mergeCell ref="A137:B137"/>
    <mergeCell ref="A122:C122"/>
    <mergeCell ref="B123:C123"/>
    <mergeCell ref="A129:B129"/>
    <mergeCell ref="A114:C114"/>
    <mergeCell ref="B115:C115"/>
    <mergeCell ref="A121:B121"/>
    <mergeCell ref="A107:C107"/>
    <mergeCell ref="B108:C108"/>
    <mergeCell ref="A113:B113"/>
    <mergeCell ref="A99:C99"/>
    <mergeCell ref="B100:C100"/>
    <mergeCell ref="A106:B106"/>
    <mergeCell ref="A91:C91"/>
    <mergeCell ref="B92:C92"/>
    <mergeCell ref="A98:B98"/>
    <mergeCell ref="A83:C83"/>
    <mergeCell ref="B84:C84"/>
    <mergeCell ref="A90:B90"/>
    <mergeCell ref="A75:C75"/>
    <mergeCell ref="A74:B74"/>
    <mergeCell ref="A82:B82"/>
    <mergeCell ref="A12:B12"/>
    <mergeCell ref="A20:B20"/>
    <mergeCell ref="A21:C21"/>
    <mergeCell ref="A29:C29"/>
    <mergeCell ref="A37:C37"/>
    <mergeCell ref="A44:C44"/>
    <mergeCell ref="A60:C60"/>
    <mergeCell ref="A28:B28"/>
    <mergeCell ref="A36:B36"/>
    <mergeCell ref="A43:B43"/>
    <mergeCell ref="B76:C76"/>
    <mergeCell ref="A52:C52"/>
    <mergeCell ref="B45:C45"/>
    <mergeCell ref="B14:C14"/>
    <mergeCell ref="B61:C61"/>
    <mergeCell ref="A6:C6"/>
    <mergeCell ref="A13:C13"/>
    <mergeCell ref="B7:C7"/>
    <mergeCell ref="B53:C53"/>
    <mergeCell ref="B38:C38"/>
    <mergeCell ref="A51:B51"/>
    <mergeCell ref="A59:B59"/>
    <mergeCell ref="B68:C68"/>
    <mergeCell ref="B22:C22"/>
    <mergeCell ref="A67:C67"/>
    <mergeCell ref="A66:B66"/>
    <mergeCell ref="B30:C30"/>
    <mergeCell ref="A1:G2"/>
    <mergeCell ref="A3:A4"/>
    <mergeCell ref="B3:B4"/>
    <mergeCell ref="C3:C4"/>
    <mergeCell ref="G3:G4"/>
    <mergeCell ref="D3:F3"/>
  </mergeCells>
  <phoneticPr fontId="0" type="noConversion"/>
  <pageMargins left="0.75" right="0.75" top="1" bottom="1" header="0.5" footer="0.5"/>
  <pageSetup paperSize="9" scale="9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59"/>
  <sheetViews>
    <sheetView topLeftCell="A127" zoomScale="136" zoomScaleNormal="136" workbookViewId="0">
      <selection activeCell="B155" sqref="B155"/>
    </sheetView>
  </sheetViews>
  <sheetFormatPr defaultColWidth="9.109375" defaultRowHeight="13.2" x14ac:dyDescent="0.25"/>
  <cols>
    <col min="1" max="1" width="11" style="1" customWidth="1"/>
    <col min="2" max="2" width="32.88671875" style="2" customWidth="1"/>
    <col min="3" max="3" width="7.88671875" style="2" customWidth="1"/>
    <col min="4" max="4" width="7.33203125" style="2" customWidth="1"/>
    <col min="5" max="5" width="7.6640625" style="2" customWidth="1"/>
    <col min="6" max="6" width="7.44140625" style="2" customWidth="1"/>
    <col min="7" max="7" width="8.5546875" style="2" customWidth="1"/>
    <col min="8" max="8" width="5.5546875" style="2" hidden="1" customWidth="1"/>
    <col min="9" max="9" width="6.5546875" style="2" hidden="1" customWidth="1"/>
    <col min="10" max="10" width="7.44140625" style="2" hidden="1" customWidth="1"/>
    <col min="11" max="11" width="7" style="2" hidden="1" customWidth="1"/>
    <col min="12" max="12" width="6.6640625" style="2" hidden="1" customWidth="1"/>
    <col min="13" max="13" width="6.33203125" style="2" hidden="1" customWidth="1"/>
    <col min="14" max="14" width="5.88671875" style="2" hidden="1" customWidth="1"/>
    <col min="15" max="16" width="9.109375" style="2" hidden="1" customWidth="1"/>
    <col min="17" max="17" width="14.33203125" style="2" hidden="1" customWidth="1"/>
    <col min="18" max="18" width="0" style="2" hidden="1" customWidth="1"/>
    <col min="19" max="16384" width="9.109375" style="2"/>
  </cols>
  <sheetData>
    <row r="1" spans="1:17" x14ac:dyDescent="0.25">
      <c r="B1" s="2" t="s">
        <v>198</v>
      </c>
      <c r="C1" s="224" t="s">
        <v>177</v>
      </c>
      <c r="D1" s="224"/>
      <c r="E1" s="224"/>
      <c r="F1" s="224"/>
      <c r="G1" s="224"/>
      <c r="H1" s="224"/>
      <c r="I1" s="224"/>
      <c r="J1" s="224"/>
    </row>
    <row r="2" spans="1:17" x14ac:dyDescent="0.25">
      <c r="B2" s="2" t="s">
        <v>196</v>
      </c>
      <c r="C2" s="225"/>
      <c r="D2" s="225"/>
      <c r="E2" s="225"/>
      <c r="F2" s="225"/>
      <c r="G2" s="225"/>
      <c r="H2" s="225"/>
      <c r="I2" s="225"/>
      <c r="J2" s="225"/>
    </row>
    <row r="3" spans="1:17" ht="33.75" customHeight="1" x14ac:dyDescent="0.25">
      <c r="A3" s="3" t="s">
        <v>0</v>
      </c>
      <c r="B3" s="4" t="s">
        <v>6</v>
      </c>
      <c r="C3" s="5" t="s">
        <v>14</v>
      </c>
      <c r="D3" s="226" t="s">
        <v>16</v>
      </c>
      <c r="E3" s="227"/>
      <c r="F3" s="228"/>
      <c r="G3" s="229" t="s">
        <v>23</v>
      </c>
      <c r="H3" s="231" t="s">
        <v>53</v>
      </c>
      <c r="I3" s="232"/>
      <c r="J3" s="175" t="s">
        <v>52</v>
      </c>
      <c r="K3" s="221" t="s">
        <v>75</v>
      </c>
      <c r="L3" s="222"/>
      <c r="M3" s="222"/>
      <c r="N3" s="223"/>
    </row>
    <row r="4" spans="1:17" ht="34.5" customHeight="1" x14ac:dyDescent="0.25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30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5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5">
      <c r="A6" s="18" t="s">
        <v>3</v>
      </c>
      <c r="B6" s="220" t="s">
        <v>13</v>
      </c>
      <c r="C6" s="216"/>
      <c r="D6" s="19">
        <f>D7+D17</f>
        <v>42.2</v>
      </c>
      <c r="E6" s="19">
        <f t="shared" ref="E6:O6" si="0">E7+E17</f>
        <v>48.41</v>
      </c>
      <c r="F6" s="19">
        <f t="shared" si="0"/>
        <v>188.9</v>
      </c>
      <c r="G6" s="19">
        <f>G7+G17</f>
        <v>1407.66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5">
      <c r="A7" s="21"/>
      <c r="B7" s="215" t="s">
        <v>66</v>
      </c>
      <c r="C7" s="216"/>
      <c r="D7" s="19">
        <f>D8+D9+D10+D11+D12+D13</f>
        <v>17.489999999999998</v>
      </c>
      <c r="E7" s="19">
        <f>E8+E9+E10+E11+E12+E13</f>
        <v>23.469999999999995</v>
      </c>
      <c r="F7" s="19">
        <f>F8+F9+F10+F11+F12+F13</f>
        <v>98.170000000000016</v>
      </c>
      <c r="G7" s="19">
        <f>G8+G9+G10+G11+G12+G13</f>
        <v>698.32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5">
      <c r="A8" s="22" t="s">
        <v>163</v>
      </c>
      <c r="B8" s="154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5">
      <c r="A9" s="22" t="s">
        <v>161</v>
      </c>
      <c r="B9" s="50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2.8" x14ac:dyDescent="0.2">
      <c r="A10" s="28" t="s">
        <v>162</v>
      </c>
      <c r="B10" s="29" t="s">
        <v>183</v>
      </c>
      <c r="C10" s="16">
        <v>205</v>
      </c>
      <c r="D10" s="30">
        <v>6.81</v>
      </c>
      <c r="E10" s="30">
        <v>10.45</v>
      </c>
      <c r="F10" s="30">
        <v>29.51</v>
      </c>
      <c r="G10" s="30">
        <v>246.6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246.59399999999999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165</v>
      </c>
      <c r="B12" s="29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5">
      <c r="A13" s="33"/>
      <c r="B13" s="154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5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5">
      <c r="A16" s="38"/>
      <c r="B16" s="39"/>
      <c r="C16" s="45">
        <f>SUM(C8:C15)</f>
        <v>500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5">
      <c r="A17" s="46"/>
      <c r="B17" s="217" t="s">
        <v>67</v>
      </c>
      <c r="C17" s="218"/>
      <c r="D17" s="48">
        <f>D18+D19+D20+D21+D22</f>
        <v>24.71</v>
      </c>
      <c r="E17" s="48">
        <f t="shared" ref="E17:O17" si="3">E18+E19+E20+E21+E22</f>
        <v>24.94</v>
      </c>
      <c r="F17" s="48">
        <f t="shared" si="3"/>
        <v>90.72999999999999</v>
      </c>
      <c r="G17" s="48">
        <f>G18+G19+G20+G21+G22</f>
        <v>709.34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709.30799999999999</v>
      </c>
      <c r="Q17" s="2">
        <v>705</v>
      </c>
    </row>
    <row r="18" spans="1:17" x14ac:dyDescent="0.2">
      <c r="A18" s="49" t="s">
        <v>174</v>
      </c>
      <c r="B18" s="50" t="s">
        <v>136</v>
      </c>
      <c r="C18" s="51">
        <v>60</v>
      </c>
      <c r="D18" s="57">
        <v>0.94</v>
      </c>
      <c r="E18" s="57">
        <v>3.06</v>
      </c>
      <c r="F18" s="57">
        <v>5.66</v>
      </c>
      <c r="G18" s="57">
        <v>55.26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55.26</v>
      </c>
    </row>
    <row r="19" spans="1:17" ht="12.75" customHeight="1" x14ac:dyDescent="0.2">
      <c r="A19" s="28" t="s">
        <v>166</v>
      </c>
      <c r="B19" s="29" t="s">
        <v>189</v>
      </c>
      <c r="C19" s="16">
        <v>200</v>
      </c>
      <c r="D19" s="30">
        <v>3</v>
      </c>
      <c r="E19" s="30">
        <f>4.61-0.21</f>
        <v>4.4000000000000004</v>
      </c>
      <c r="F19" s="30">
        <f>12.54-0.05</f>
        <v>12.489999999999998</v>
      </c>
      <c r="G19" s="30">
        <v>104.65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104.65799999999999</v>
      </c>
    </row>
    <row r="20" spans="1:17" x14ac:dyDescent="0.25">
      <c r="A20" s="158" t="s">
        <v>170</v>
      </c>
      <c r="B20" s="29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5">
      <c r="A21" s="159" t="s">
        <v>164</v>
      </c>
      <c r="B21" s="50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50" t="s">
        <v>11</v>
      </c>
      <c r="C22" s="16">
        <v>40</v>
      </c>
      <c r="D22" s="57">
        <v>3.04</v>
      </c>
      <c r="E22" s="30">
        <v>0.32</v>
      </c>
      <c r="F22" s="57">
        <v>19.68</v>
      </c>
      <c r="G22" s="57">
        <v>98.34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98.303999999999988</v>
      </c>
    </row>
    <row r="23" spans="1:17" x14ac:dyDescent="0.25">
      <c r="A23" s="38"/>
      <c r="B23" s="39"/>
      <c r="C23" s="45">
        <f>SUM(C18:C22)</f>
        <v>700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5">
      <c r="A24" s="18" t="s">
        <v>4</v>
      </c>
      <c r="B24" s="215" t="s">
        <v>13</v>
      </c>
      <c r="C24" s="216"/>
      <c r="D24" s="19">
        <f t="shared" ref="D24:O24" si="4">D25+D31</f>
        <v>40.459999999999994</v>
      </c>
      <c r="E24" s="19">
        <f t="shared" si="4"/>
        <v>43.07</v>
      </c>
      <c r="F24" s="19">
        <f t="shared" si="4"/>
        <v>196.01</v>
      </c>
      <c r="G24" s="19">
        <f>G25+G31</f>
        <v>1383.7060000000001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1380.8039999999999</v>
      </c>
    </row>
    <row r="25" spans="1:17" x14ac:dyDescent="0.25">
      <c r="A25" s="18"/>
      <c r="B25" s="215" t="s">
        <v>66</v>
      </c>
      <c r="C25" s="216"/>
      <c r="D25" s="19">
        <f>D26+D27+D28+D29</f>
        <v>15.349999999999998</v>
      </c>
      <c r="E25" s="19">
        <f>E26+E27+E28+E29</f>
        <v>11.95</v>
      </c>
      <c r="F25" s="19">
        <f>F26+F27+F28+F29</f>
        <v>108.09</v>
      </c>
      <c r="G25" s="19">
        <f>G26+G27+G28+G29</f>
        <v>627.66600000000005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625.99799999999993</v>
      </c>
      <c r="Q25" s="2">
        <v>470</v>
      </c>
    </row>
    <row r="26" spans="1:17" ht="22.8" x14ac:dyDescent="0.25">
      <c r="A26" s="177" t="s">
        <v>162</v>
      </c>
      <c r="B26" s="178" t="s">
        <v>185</v>
      </c>
      <c r="C26" s="37">
        <v>205</v>
      </c>
      <c r="D26" s="179">
        <f>7.81</f>
        <v>7.81</v>
      </c>
      <c r="E26" s="179">
        <f>4.55</f>
        <v>4.55</v>
      </c>
      <c r="F26" s="179">
        <f>33.47</f>
        <v>33.47</v>
      </c>
      <c r="G26" s="179">
        <v>214.32599999999999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214.32599999999999</v>
      </c>
    </row>
    <row r="27" spans="1:17" x14ac:dyDescent="0.25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5">
      <c r="A28" s="160" t="s">
        <v>164</v>
      </c>
      <c r="B28" s="50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5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5">
      <c r="A30" s="28"/>
      <c r="B30" s="27"/>
      <c r="C30" s="60">
        <f>SUM(C26:C29)</f>
        <v>505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5">
      <c r="A31" s="61"/>
      <c r="B31" s="217" t="s">
        <v>67</v>
      </c>
      <c r="C31" s="218"/>
      <c r="D31" s="63">
        <f>D32+D33+D34+D35+D36+D37</f>
        <v>25.11</v>
      </c>
      <c r="E31" s="63">
        <f>E32+E33+E34+E35+E36+E37</f>
        <v>31.12</v>
      </c>
      <c r="F31" s="63">
        <f>F32+F33+F34+F35+F36+F37</f>
        <v>87.92</v>
      </c>
      <c r="G31" s="63">
        <f>G32+G33+G34+G35+G36+G37</f>
        <v>756.04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754.80600000000004</v>
      </c>
      <c r="Q31" s="2">
        <v>705</v>
      </c>
    </row>
    <row r="32" spans="1:17" x14ac:dyDescent="0.2">
      <c r="A32" s="28" t="s">
        <v>68</v>
      </c>
      <c r="B32" s="75" t="s">
        <v>69</v>
      </c>
      <c r="C32" s="54">
        <v>60</v>
      </c>
      <c r="D32" s="97">
        <v>0.84</v>
      </c>
      <c r="E32" s="30">
        <v>3.06</v>
      </c>
      <c r="F32" s="30">
        <v>6.83</v>
      </c>
      <c r="G32" s="30">
        <v>59.75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59.753999999999998</v>
      </c>
    </row>
    <row r="33" spans="1:17" x14ac:dyDescent="0.25">
      <c r="A33" s="161" t="s">
        <v>167</v>
      </c>
      <c r="B33" s="50" t="s">
        <v>159</v>
      </c>
      <c r="C33" s="37">
        <v>200</v>
      </c>
      <c r="D33" s="57">
        <f>2.57-0.86</f>
        <v>1.71</v>
      </c>
      <c r="E33" s="57">
        <f>9.24-0.84</f>
        <v>8.4</v>
      </c>
      <c r="F33" s="57">
        <f>18.04-0.09</f>
        <v>17.95</v>
      </c>
      <c r="G33" s="57">
        <v>158.72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158.17200000000003</v>
      </c>
    </row>
    <row r="34" spans="1:17" x14ac:dyDescent="0.25">
      <c r="A34" s="162" t="s">
        <v>43</v>
      </c>
      <c r="B34" s="50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50" t="s">
        <v>12</v>
      </c>
      <c r="C35" s="67">
        <v>150</v>
      </c>
      <c r="D35" s="57">
        <v>5.64</v>
      </c>
      <c r="E35" s="30">
        <v>2.84</v>
      </c>
      <c r="F35" s="57">
        <v>36</v>
      </c>
      <c r="G35" s="57">
        <v>201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200.44800000000001</v>
      </c>
    </row>
    <row r="36" spans="1:17" ht="12.75" customHeight="1" x14ac:dyDescent="0.25">
      <c r="A36" s="163" t="s">
        <v>42</v>
      </c>
      <c r="B36" s="68" t="s">
        <v>202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50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5">
      <c r="A38" s="28"/>
      <c r="B38" s="27"/>
      <c r="C38" s="60">
        <f>SUM(C32:C37)</f>
        <v>730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5">
      <c r="A39" s="18" t="s">
        <v>5</v>
      </c>
      <c r="B39" s="220" t="s">
        <v>13</v>
      </c>
      <c r="C39" s="216"/>
      <c r="D39" s="19">
        <f>D40+D46</f>
        <v>37.39</v>
      </c>
      <c r="E39" s="19">
        <f t="shared" ref="E39:O39" si="6">E40+E46</f>
        <v>31.92</v>
      </c>
      <c r="F39" s="19">
        <f t="shared" si="6"/>
        <v>194.06</v>
      </c>
      <c r="G39" s="19">
        <f>G40+G46</f>
        <v>1260.7400000000002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1259.3700000000001</v>
      </c>
    </row>
    <row r="40" spans="1:17" x14ac:dyDescent="0.25">
      <c r="A40" s="18"/>
      <c r="B40" s="215" t="s">
        <v>66</v>
      </c>
      <c r="C40" s="216"/>
      <c r="D40" s="19">
        <f>D41+D42+D43+D44</f>
        <v>12.920000000000002</v>
      </c>
      <c r="E40" s="19">
        <f>E41+E42+E43+E44</f>
        <v>8.42</v>
      </c>
      <c r="F40" s="19">
        <f>F41+F42+F43+F44</f>
        <v>96.580000000000013</v>
      </c>
      <c r="G40" s="19">
        <f>G41+G42+G43+G44</f>
        <v>535.54000000000008</v>
      </c>
      <c r="H40" s="19">
        <f t="shared" ref="H40:O40" si="7">H41+H42+H43+H44</f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535.68000000000006</v>
      </c>
      <c r="Q40" s="2">
        <v>470</v>
      </c>
    </row>
    <row r="41" spans="1:17" x14ac:dyDescent="0.25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2.8" x14ac:dyDescent="0.2">
      <c r="A42" s="54" t="s">
        <v>162</v>
      </c>
      <c r="B42" s="29" t="s">
        <v>187</v>
      </c>
      <c r="C42" s="37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203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38"/>
      <c r="B44" s="50" t="s">
        <v>11</v>
      </c>
      <c r="C44" s="37">
        <v>40</v>
      </c>
      <c r="D44" s="57">
        <v>3.04</v>
      </c>
      <c r="E44" s="53">
        <v>0.32</v>
      </c>
      <c r="F44" s="57">
        <v>19.68</v>
      </c>
      <c r="G44" s="57">
        <v>98.34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98.303999999999988</v>
      </c>
    </row>
    <row r="45" spans="1:17" x14ac:dyDescent="0.25">
      <c r="A45" s="22"/>
      <c r="B45" s="27"/>
      <c r="C45" s="72">
        <f>SUM(C41:C44)</f>
        <v>543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5">
      <c r="A46" s="22"/>
      <c r="B46" s="217" t="s">
        <v>67</v>
      </c>
      <c r="C46" s="218"/>
      <c r="D46" s="63">
        <f>D47+D48+D49+D50+D51+D52</f>
        <v>24.47</v>
      </c>
      <c r="E46" s="63">
        <f>E47+E48+E49+E50+E51+E52</f>
        <v>23.5</v>
      </c>
      <c r="F46" s="63">
        <f>F47+F48+F49+F50+F51+F52</f>
        <v>97.48</v>
      </c>
      <c r="G46" s="63">
        <f>G47+G48+G49+G50+G51+G52</f>
        <v>725.2</v>
      </c>
      <c r="H46" s="63">
        <f t="shared" ref="H46:O46" si="8">H47+H48+H49+H50+H51+H52</f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723.69</v>
      </c>
      <c r="Q46" s="2">
        <v>705</v>
      </c>
    </row>
    <row r="47" spans="1:17" x14ac:dyDescent="0.2">
      <c r="A47" s="49" t="s">
        <v>82</v>
      </c>
      <c r="B47" s="50" t="s">
        <v>83</v>
      </c>
      <c r="C47" s="51">
        <v>60</v>
      </c>
      <c r="D47" s="57">
        <v>1.21</v>
      </c>
      <c r="E47" s="57">
        <v>6.2</v>
      </c>
      <c r="F47" s="57">
        <v>12.33</v>
      </c>
      <c r="G47" s="57">
        <v>113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112.66800000000001</v>
      </c>
    </row>
    <row r="48" spans="1:17" x14ac:dyDescent="0.2">
      <c r="A48" s="165" t="s">
        <v>117</v>
      </c>
      <c r="B48" s="29" t="s">
        <v>190</v>
      </c>
      <c r="C48" s="16">
        <v>200</v>
      </c>
      <c r="D48" s="30">
        <f>2.64-0.99</f>
        <v>1.6500000000000001</v>
      </c>
      <c r="E48" s="30">
        <f>3.56-1.59</f>
        <v>1.97</v>
      </c>
      <c r="F48" s="30">
        <f>11.76-0.27</f>
        <v>11.49</v>
      </c>
      <c r="G48" s="30">
        <f>93-19.32</f>
        <v>73.680000000000007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72.918000000000006</v>
      </c>
    </row>
    <row r="49" spans="1:16" x14ac:dyDescent="0.25">
      <c r="A49" s="70" t="s">
        <v>131</v>
      </c>
      <c r="B49" s="50" t="s">
        <v>141</v>
      </c>
      <c r="C49" s="37">
        <v>90</v>
      </c>
      <c r="D49" s="57">
        <v>11.84</v>
      </c>
      <c r="E49" s="57">
        <v>10.06</v>
      </c>
      <c r="F49" s="57">
        <v>16.03</v>
      </c>
      <c r="G49" s="57">
        <v>208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207.59399999999999</v>
      </c>
    </row>
    <row r="50" spans="1:16" x14ac:dyDescent="0.2">
      <c r="A50" s="159" t="s">
        <v>38</v>
      </c>
      <c r="B50" s="29" t="s">
        <v>36</v>
      </c>
      <c r="C50" s="37">
        <v>150</v>
      </c>
      <c r="D50" s="57">
        <v>8.77</v>
      </c>
      <c r="E50" s="57">
        <v>5.19</v>
      </c>
      <c r="F50" s="57">
        <v>39.630000000000003</v>
      </c>
      <c r="G50" s="57">
        <v>250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249.99000000000004</v>
      </c>
    </row>
    <row r="51" spans="1:16" x14ac:dyDescent="0.2">
      <c r="A51" s="166" t="s">
        <v>164</v>
      </c>
      <c r="B51" s="50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50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5">
      <c r="A53" s="22"/>
      <c r="B53" s="73"/>
      <c r="C53" s="74">
        <f>SUM(C47:C52)</f>
        <v>720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5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5">
      <c r="A55" s="21" t="s">
        <v>27</v>
      </c>
      <c r="B55" s="215" t="s">
        <v>13</v>
      </c>
      <c r="C55" s="216"/>
      <c r="D55" s="63">
        <f t="shared" ref="D55:O55" si="9">D56+D62</f>
        <v>42.489999999999995</v>
      </c>
      <c r="E55" s="63">
        <f t="shared" si="9"/>
        <v>37.019999999999996</v>
      </c>
      <c r="F55" s="63">
        <f t="shared" si="9"/>
        <v>181.36</v>
      </c>
      <c r="G55" s="63">
        <f t="shared" si="9"/>
        <v>1273.79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1273.3500000000001</v>
      </c>
    </row>
    <row r="56" spans="1:16" x14ac:dyDescent="0.25">
      <c r="A56" s="21"/>
      <c r="B56" s="215" t="s">
        <v>66</v>
      </c>
      <c r="C56" s="216"/>
      <c r="D56" s="63">
        <f>D57+D58+D59+D60</f>
        <v>15.21</v>
      </c>
      <c r="E56" s="63">
        <f>E57+E58+E59+E60</f>
        <v>8.36</v>
      </c>
      <c r="F56" s="63">
        <f>F57+F58+F59+F60</f>
        <v>102.05000000000001</v>
      </c>
      <c r="G56" s="63">
        <f>G57+G58+G59+G60</f>
        <v>567.83000000000004</v>
      </c>
      <c r="H56" s="63">
        <f t="shared" ref="H56:O56" si="10">H57+H58+H59+H60</f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567.73200000000008</v>
      </c>
    </row>
    <row r="57" spans="1:16" x14ac:dyDescent="0.25">
      <c r="A57" s="143" t="s">
        <v>180</v>
      </c>
      <c r="B57" s="50" t="s">
        <v>178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2.8" x14ac:dyDescent="0.2">
      <c r="A58" s="54" t="s">
        <v>162</v>
      </c>
      <c r="B58" s="29" t="s">
        <v>186</v>
      </c>
      <c r="C58" s="37">
        <v>203</v>
      </c>
      <c r="D58" s="57">
        <f>7.26</f>
        <v>7.26</v>
      </c>
      <c r="E58" s="57">
        <f>4.25</f>
        <v>4.25</v>
      </c>
      <c r="F58" s="57">
        <f>36.28</f>
        <v>36.28</v>
      </c>
      <c r="G58" s="57">
        <v>221.18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221.11799999999999</v>
      </c>
    </row>
    <row r="59" spans="1:16" x14ac:dyDescent="0.25">
      <c r="A59" s="163" t="s">
        <v>164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50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5">
      <c r="A61" s="28"/>
      <c r="B61" s="27"/>
      <c r="C61" s="72">
        <f>SUM(C57:C60)</f>
        <v>503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5">
      <c r="A62" s="28"/>
      <c r="B62" s="217" t="s">
        <v>67</v>
      </c>
      <c r="C62" s="218"/>
      <c r="D62" s="63">
        <f>D63+D64+D65+D66+D67</f>
        <v>27.279999999999998</v>
      </c>
      <c r="E62" s="63">
        <f>E63+E64+E65+E66+E67</f>
        <v>28.66</v>
      </c>
      <c r="F62" s="63">
        <f>F63+F64+F65+F66+F67</f>
        <v>79.31</v>
      </c>
      <c r="G62" s="63">
        <f>G63+G64+G65+G66+G67</f>
        <v>705.95999999999992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705.61800000000005</v>
      </c>
    </row>
    <row r="63" spans="1:16" ht="15" customHeight="1" x14ac:dyDescent="0.25">
      <c r="A63" s="167" t="s">
        <v>175</v>
      </c>
      <c r="B63" s="75" t="s">
        <v>142</v>
      </c>
      <c r="C63" s="54">
        <v>60</v>
      </c>
      <c r="D63" s="76">
        <v>0.74</v>
      </c>
      <c r="E63" s="76">
        <v>0.06</v>
      </c>
      <c r="F63" s="76">
        <v>6.92</v>
      </c>
      <c r="G63" s="76">
        <v>33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32.712000000000003</v>
      </c>
    </row>
    <row r="64" spans="1:16" ht="16.5" customHeight="1" x14ac:dyDescent="0.2">
      <c r="A64" s="165" t="s">
        <v>168</v>
      </c>
      <c r="B64" s="29" t="s">
        <v>191</v>
      </c>
      <c r="C64" s="16">
        <v>200</v>
      </c>
      <c r="D64" s="30">
        <f>6.51-0.99</f>
        <v>5.52</v>
      </c>
      <c r="E64" s="30">
        <f>12.28-0.1</f>
        <v>12.18</v>
      </c>
      <c r="F64" s="30">
        <f>11.17-0.27</f>
        <v>10.9</v>
      </c>
      <c r="G64" s="30">
        <v>178.58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178.584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6.5" customHeight="1" x14ac:dyDescent="0.25">
      <c r="A66" s="168" t="s">
        <v>42</v>
      </c>
      <c r="B66" s="50" t="s">
        <v>202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50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5">
      <c r="A68" s="28"/>
      <c r="B68" s="73"/>
      <c r="C68" s="72">
        <f>SUM(C63:C67)</f>
        <v>740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5">
      <c r="A69" s="21" t="s">
        <v>28</v>
      </c>
      <c r="B69" s="215" t="s">
        <v>13</v>
      </c>
      <c r="C69" s="216"/>
      <c r="D69" s="63">
        <f>D70+D76</f>
        <v>42.75</v>
      </c>
      <c r="E69" s="63">
        <f t="shared" ref="E69:O69" si="11">E70+E76</f>
        <v>37.6</v>
      </c>
      <c r="F69" s="63">
        <f t="shared" si="11"/>
        <v>190.60999999999999</v>
      </c>
      <c r="G69" s="63">
        <f t="shared" si="11"/>
        <v>1319.01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1318.5119999999999</v>
      </c>
    </row>
    <row r="70" spans="1:16" x14ac:dyDescent="0.25">
      <c r="A70" s="21"/>
      <c r="B70" s="215" t="s">
        <v>66</v>
      </c>
      <c r="C70" s="216"/>
      <c r="D70" s="63">
        <f>D71+D72+D73+D74</f>
        <v>14.879999999999999</v>
      </c>
      <c r="E70" s="63">
        <f>E71+E72+E73+E74</f>
        <v>9.5400000000000009</v>
      </c>
      <c r="F70" s="63">
        <f>F71+F72+F73+F74</f>
        <v>89.13</v>
      </c>
      <c r="G70" s="63">
        <f>G71+G72+G73+G74</f>
        <v>522.74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522.702</v>
      </c>
    </row>
    <row r="71" spans="1:16" x14ac:dyDescent="0.25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5">
      <c r="A72" s="54" t="s">
        <v>181</v>
      </c>
      <c r="B72" s="79" t="s">
        <v>179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164</v>
      </c>
      <c r="B73" s="50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5" si="13">(D73+F73)*4.2+E73*9</f>
        <v>42</v>
      </c>
    </row>
    <row r="74" spans="1:16" ht="13.5" customHeight="1" x14ac:dyDescent="0.2">
      <c r="A74" s="38"/>
      <c r="B74" s="155" t="s">
        <v>11</v>
      </c>
      <c r="C74" s="16">
        <v>40</v>
      </c>
      <c r="D74" s="57">
        <v>3.04</v>
      </c>
      <c r="E74" s="30">
        <v>0.32</v>
      </c>
      <c r="F74" s="57">
        <v>19.68</v>
      </c>
      <c r="G74" s="57">
        <v>98.34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98.303999999999988</v>
      </c>
    </row>
    <row r="75" spans="1:16" x14ac:dyDescent="0.25">
      <c r="A75" s="70"/>
      <c r="B75" s="27"/>
      <c r="C75" s="80">
        <f>SUM(C71:C74)</f>
        <v>543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5">
      <c r="A76" s="70"/>
      <c r="B76" s="217" t="s">
        <v>67</v>
      </c>
      <c r="C76" s="218"/>
      <c r="D76" s="63">
        <f>D77+D78+D79+D80+D81+D82</f>
        <v>27.87</v>
      </c>
      <c r="E76" s="63">
        <f>E77+E78+E79+E80+E81+E82</f>
        <v>28.060000000000002</v>
      </c>
      <c r="F76" s="63">
        <f>F77+F78+F79+F80+F81+F82</f>
        <v>101.47999999999999</v>
      </c>
      <c r="G76" s="63">
        <f>G77+G78+G79+G80+G81+G82</f>
        <v>796.27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795.81</v>
      </c>
    </row>
    <row r="77" spans="1:16" ht="14.25" customHeight="1" x14ac:dyDescent="0.25">
      <c r="A77" s="49" t="s">
        <v>172</v>
      </c>
      <c r="B77" s="50" t="s">
        <v>145</v>
      </c>
      <c r="C77" s="51">
        <v>60</v>
      </c>
      <c r="D77" s="57">
        <v>0.88</v>
      </c>
      <c r="E77" s="57">
        <v>3.11</v>
      </c>
      <c r="F77" s="57">
        <v>5.64</v>
      </c>
      <c r="G77" s="57">
        <v>55.8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55.373999999999995</v>
      </c>
    </row>
    <row r="78" spans="1:16" ht="14.25" customHeight="1" x14ac:dyDescent="0.2">
      <c r="A78" s="28" t="s">
        <v>166</v>
      </c>
      <c r="B78" s="29" t="s">
        <v>189</v>
      </c>
      <c r="C78" s="16">
        <v>200</v>
      </c>
      <c r="D78" s="30">
        <v>3</v>
      </c>
      <c r="E78" s="30">
        <f>4.61-0.21</f>
        <v>4.4000000000000004</v>
      </c>
      <c r="F78" s="30">
        <f>12.54-0.05</f>
        <v>12.489999999999998</v>
      </c>
      <c r="G78" s="30">
        <v>104.65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104.65799999999999</v>
      </c>
    </row>
    <row r="79" spans="1:16" x14ac:dyDescent="0.25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5">
      <c r="A80" s="81" t="s">
        <v>134</v>
      </c>
      <c r="B80" s="50" t="s">
        <v>148</v>
      </c>
      <c r="C80" s="37">
        <v>150</v>
      </c>
      <c r="D80" s="57">
        <v>16.260000000000002</v>
      </c>
      <c r="E80" s="82">
        <v>4.03</v>
      </c>
      <c r="F80" s="57">
        <v>33.97</v>
      </c>
      <c r="G80" s="57">
        <v>247.3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247.23600000000005</v>
      </c>
    </row>
    <row r="81" spans="1:32" ht="29.25" customHeight="1" x14ac:dyDescent="0.2">
      <c r="A81" s="28" t="s">
        <v>42</v>
      </c>
      <c r="B81" s="50" t="s">
        <v>203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122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5">
      <c r="A83" s="22"/>
      <c r="B83" s="83"/>
      <c r="C83" s="72">
        <f>SUM(C77:C82)</f>
        <v>740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5">
      <c r="A84" s="84" t="s">
        <v>29</v>
      </c>
      <c r="B84" s="215" t="s">
        <v>13</v>
      </c>
      <c r="C84" s="216"/>
      <c r="D84" s="63">
        <f t="shared" ref="D84:O84" si="15">D85+D91</f>
        <v>35.18</v>
      </c>
      <c r="E84" s="63">
        <f t="shared" si="15"/>
        <v>40.680000000000007</v>
      </c>
      <c r="F84" s="63">
        <f t="shared" si="15"/>
        <v>171.08</v>
      </c>
      <c r="G84" s="63">
        <f>G85+G91</f>
        <v>1233.26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1232.4120000000003</v>
      </c>
    </row>
    <row r="85" spans="1:32" x14ac:dyDescent="0.25">
      <c r="A85" s="85"/>
      <c r="B85" s="215" t="s">
        <v>66</v>
      </c>
      <c r="C85" s="216"/>
      <c r="D85" s="87">
        <f>D86+D87+D88+D89</f>
        <v>11.64</v>
      </c>
      <c r="E85" s="87">
        <f>E86+E87+E88+E89</f>
        <v>10.52</v>
      </c>
      <c r="F85" s="87">
        <f>F86+F87+F88+F89</f>
        <v>89.5</v>
      </c>
      <c r="G85" s="87">
        <f>G86+G87+G88+G89</f>
        <v>519.5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519.46799999999996</v>
      </c>
      <c r="Q85" s="89">
        <f>G85-470</f>
        <v>49.5</v>
      </c>
      <c r="R85" s="2">
        <f>Q85/9</f>
        <v>5.5</v>
      </c>
    </row>
    <row r="86" spans="1:32" x14ac:dyDescent="0.25">
      <c r="A86" s="90"/>
      <c r="B86" s="156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162</v>
      </c>
      <c r="B87" s="29" t="s">
        <v>184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164</v>
      </c>
      <c r="B88" s="154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122" t="s">
        <v>11</v>
      </c>
      <c r="C89" s="16">
        <v>40</v>
      </c>
      <c r="D89" s="57">
        <v>3.04</v>
      </c>
      <c r="E89" s="30">
        <v>0.32</v>
      </c>
      <c r="F89" s="57">
        <v>19.68</v>
      </c>
      <c r="G89" s="57">
        <v>98.34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98.303999999999988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5">
      <c r="A90" s="38"/>
      <c r="B90" s="39"/>
      <c r="C90" s="45">
        <f>SUM(C86:C89)</f>
        <v>543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5">
      <c r="A91" s="38"/>
      <c r="B91" s="217" t="s">
        <v>67</v>
      </c>
      <c r="C91" s="218"/>
      <c r="D91" s="48">
        <f>D92+D93+D94+D95+D96</f>
        <v>23.54</v>
      </c>
      <c r="E91" s="48">
        <f>E92+E93+E94+E95+E96</f>
        <v>30.160000000000004</v>
      </c>
      <c r="F91" s="48">
        <f>F92+F93+F94+F95+F96</f>
        <v>81.580000000000013</v>
      </c>
      <c r="G91" s="48">
        <f>G92+G93+G94+G95+G96</f>
        <v>713.76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712.94400000000007</v>
      </c>
      <c r="Q91" s="89">
        <f>P91-705</f>
        <v>7.9440000000000737</v>
      </c>
      <c r="R91" s="2">
        <f>Q91/9</f>
        <v>0.88266666666667482</v>
      </c>
    </row>
    <row r="92" spans="1:32" ht="16.5" customHeight="1" x14ac:dyDescent="0.2">
      <c r="A92" s="49" t="s">
        <v>139</v>
      </c>
      <c r="B92" s="50" t="s">
        <v>140</v>
      </c>
      <c r="C92" s="51">
        <v>60</v>
      </c>
      <c r="D92" s="57">
        <v>0.9</v>
      </c>
      <c r="E92" s="57">
        <v>0.06</v>
      </c>
      <c r="F92" s="57">
        <v>5.28</v>
      </c>
      <c r="G92" s="57">
        <v>27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26.496000000000002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160</v>
      </c>
      <c r="C93" s="16">
        <v>200</v>
      </c>
      <c r="D93" s="30">
        <f>3.96-0.86</f>
        <v>3.1</v>
      </c>
      <c r="E93" s="30">
        <f>4.86-0.84</f>
        <v>4.0200000000000005</v>
      </c>
      <c r="F93" s="30">
        <f>17.01-0.09</f>
        <v>16.920000000000002</v>
      </c>
      <c r="G93" s="30">
        <v>120.26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120.26400000000002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5">
      <c r="A94" s="70">
        <v>218</v>
      </c>
      <c r="B94" s="50" t="s">
        <v>149</v>
      </c>
      <c r="C94" s="37">
        <v>200</v>
      </c>
      <c r="D94" s="57">
        <v>16.48</v>
      </c>
      <c r="E94" s="57">
        <v>25.76</v>
      </c>
      <c r="F94" s="57">
        <v>10.39</v>
      </c>
      <c r="G94" s="57">
        <v>345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344.69400000000002</v>
      </c>
    </row>
    <row r="95" spans="1:32" ht="22.8" x14ac:dyDescent="0.25">
      <c r="A95" s="158" t="s">
        <v>40</v>
      </c>
      <c r="B95" s="50" t="s">
        <v>204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5">
      <c r="A96" s="28"/>
      <c r="B96" s="155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5">
      <c r="A97" s="28"/>
      <c r="B97" s="27"/>
      <c r="C97" s="72">
        <f>SUM(C92:C96)</f>
        <v>700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5">
      <c r="A98" s="215" t="s">
        <v>64</v>
      </c>
      <c r="B98" s="220"/>
      <c r="C98" s="216"/>
      <c r="D98" s="63">
        <f t="shared" ref="D98:O98" si="16">D99+D105</f>
        <v>38.839700000000001</v>
      </c>
      <c r="E98" s="63">
        <f t="shared" si="16"/>
        <v>41.879300000000001</v>
      </c>
      <c r="F98" s="63">
        <f t="shared" si="16"/>
        <v>212.96030000000002</v>
      </c>
      <c r="G98" s="63">
        <f t="shared" si="16"/>
        <v>1456.4960000000001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1434.4737000000002</v>
      </c>
    </row>
    <row r="99" spans="1:36" x14ac:dyDescent="0.25">
      <c r="A99" s="109"/>
      <c r="B99" s="215" t="s">
        <v>66</v>
      </c>
      <c r="C99" s="216"/>
      <c r="D99" s="63">
        <f>D100+D101+D102+D103</f>
        <v>18.409700000000001</v>
      </c>
      <c r="E99" s="63">
        <f t="shared" ref="E99:F99" si="17">E100+E101+E102+E103</f>
        <v>11.3093</v>
      </c>
      <c r="F99" s="63">
        <f t="shared" si="17"/>
        <v>136.09030000000001</v>
      </c>
      <c r="G99" s="63">
        <f>G100+G101+G102+G103</f>
        <v>751.44600000000003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750.68370000000004</v>
      </c>
    </row>
    <row r="100" spans="1:36" ht="26.25" customHeight="1" x14ac:dyDescent="0.2">
      <c r="A100" s="54" t="s">
        <v>162</v>
      </c>
      <c r="B100" s="29" t="s">
        <v>188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5">
      <c r="A101" s="143" t="s">
        <v>180</v>
      </c>
      <c r="B101" s="50" t="s">
        <v>178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5">
      <c r="A102" s="41">
        <v>323</v>
      </c>
      <c r="B102" s="50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50" t="s">
        <v>11</v>
      </c>
      <c r="C103" s="16">
        <v>40</v>
      </c>
      <c r="D103" s="57">
        <v>3.04</v>
      </c>
      <c r="E103" s="30">
        <v>0.32</v>
      </c>
      <c r="F103" s="57">
        <v>19.68</v>
      </c>
      <c r="G103" s="57">
        <v>98.34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98.303999999999988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5" customHeight="1" x14ac:dyDescent="0.25">
      <c r="A104" s="28"/>
      <c r="B104" s="23"/>
      <c r="C104" s="45">
        <f>SUM(C100:C103)</f>
        <v>543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5">
      <c r="A105" s="61"/>
      <c r="B105" s="217" t="s">
        <v>67</v>
      </c>
      <c r="C105" s="218"/>
      <c r="D105" s="48">
        <f>D106+D107+D108+D109+D110+D111</f>
        <v>20.43</v>
      </c>
      <c r="E105" s="48">
        <f>E106+E107+E108+E109+E110+E111</f>
        <v>30.57</v>
      </c>
      <c r="F105" s="48">
        <f>F106+F107+F108+F109+F110+F111</f>
        <v>76.86999999999999</v>
      </c>
      <c r="G105" s="48">
        <f>G106+G107+G108+G109+G110+G111</f>
        <v>705.05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 t="shared" si="13"/>
        <v>683.79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5">
      <c r="A106" s="49" t="s">
        <v>174</v>
      </c>
      <c r="B106" s="50" t="s">
        <v>136</v>
      </c>
      <c r="C106" s="147">
        <v>60</v>
      </c>
      <c r="D106" s="57">
        <v>0.94</v>
      </c>
      <c r="E106" s="57">
        <v>3.06</v>
      </c>
      <c r="F106" s="57">
        <v>5.66</v>
      </c>
      <c r="G106" s="57">
        <v>55.26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55.26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2" customHeight="1" x14ac:dyDescent="0.2">
      <c r="A107" s="166" t="s">
        <v>169</v>
      </c>
      <c r="B107" s="79" t="s">
        <v>192</v>
      </c>
      <c r="C107" s="142">
        <v>200</v>
      </c>
      <c r="D107" s="57">
        <f>4.65-0.09</f>
        <v>4.5600000000000005</v>
      </c>
      <c r="E107" s="57">
        <f>6.92-0.02</f>
        <v>6.9</v>
      </c>
      <c r="F107" s="57">
        <f>12.49-0.27</f>
        <v>12.22</v>
      </c>
      <c r="G107" s="57">
        <v>132.58000000000001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132.57600000000002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5">
      <c r="A108" s="166">
        <v>203</v>
      </c>
      <c r="B108" s="79" t="s">
        <v>182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50" t="s">
        <v>32</v>
      </c>
      <c r="C109" s="142">
        <v>150</v>
      </c>
      <c r="D109" s="57">
        <v>3.26</v>
      </c>
      <c r="E109" s="57">
        <v>7.8</v>
      </c>
      <c r="F109" s="57">
        <v>21.99</v>
      </c>
      <c r="G109" s="57">
        <v>176.3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 t="shared" si="13"/>
        <v>176.25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4.25" customHeight="1" x14ac:dyDescent="0.25">
      <c r="A110" s="165" t="s">
        <v>176</v>
      </c>
      <c r="B110" s="29" t="s">
        <v>90</v>
      </c>
      <c r="C110" s="141">
        <v>200</v>
      </c>
      <c r="D110" s="151">
        <v>0.14000000000000001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f t="shared" si="13"/>
        <v>68.586000000000013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122" t="s">
        <v>11</v>
      </c>
      <c r="C111" s="141">
        <v>25</v>
      </c>
      <c r="D111" s="57">
        <f>1.52*1.25</f>
        <v>1.9</v>
      </c>
      <c r="E111" s="30">
        <f>0.16*1.25</f>
        <v>0.2</v>
      </c>
      <c r="F111" s="57">
        <f>9.84*1.25</f>
        <v>12.3</v>
      </c>
      <c r="G111" s="57">
        <v>62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61.440000000000005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5">
      <c r="A112" s="115"/>
      <c r="B112" s="116"/>
      <c r="C112" s="140">
        <f>SUM(C106:C111)</f>
        <v>735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5">
      <c r="A113" s="84" t="s">
        <v>30</v>
      </c>
      <c r="B113" s="219" t="s">
        <v>13</v>
      </c>
      <c r="C113" s="219"/>
      <c r="D113" s="63">
        <f t="shared" ref="D113:O113" si="18">D114+D120</f>
        <v>39.03</v>
      </c>
      <c r="E113" s="63">
        <f t="shared" si="18"/>
        <v>49.67</v>
      </c>
      <c r="F113" s="63">
        <f t="shared" si="18"/>
        <v>181.64</v>
      </c>
      <c r="G113" s="63">
        <f>G114+G120</f>
        <v>1376.01</v>
      </c>
      <c r="H113" s="63" t="e">
        <f t="shared" si="18"/>
        <v>#REF!</v>
      </c>
      <c r="I113" s="63" t="e">
        <f t="shared" si="18"/>
        <v>#REF!</v>
      </c>
      <c r="J113" s="63" t="e">
        <f t="shared" si="18"/>
        <v>#REF!</v>
      </c>
      <c r="K113" s="63" t="e">
        <f t="shared" si="18"/>
        <v>#REF!</v>
      </c>
      <c r="L113" s="63" t="e">
        <f t="shared" si="18"/>
        <v>#REF!</v>
      </c>
      <c r="M113" s="63" t="e">
        <f t="shared" si="18"/>
        <v>#REF!</v>
      </c>
      <c r="N113" s="63" t="e">
        <f t="shared" si="18"/>
        <v>#REF!</v>
      </c>
      <c r="O113" s="64" t="e">
        <f t="shared" si="18"/>
        <v>#REF!</v>
      </c>
      <c r="P113" s="2">
        <f t="shared" si="13"/>
        <v>1373.8440000000001</v>
      </c>
    </row>
    <row r="114" spans="1:16" x14ac:dyDescent="0.25">
      <c r="A114" s="84"/>
      <c r="B114" s="215" t="s">
        <v>66</v>
      </c>
      <c r="C114" s="216"/>
      <c r="D114" s="63">
        <f>D115+D116+D117+D118</f>
        <v>14.559999999999999</v>
      </c>
      <c r="E114" s="63">
        <f>E115+E116+E117+E118</f>
        <v>11.52</v>
      </c>
      <c r="F114" s="63">
        <f>F115+F116+F117+F118</f>
        <v>104.85</v>
      </c>
      <c r="G114" s="63">
        <f>G115+G116+G117+G118</f>
        <v>606.87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605.202</v>
      </c>
    </row>
    <row r="115" spans="1:16" ht="22.8" x14ac:dyDescent="0.25">
      <c r="A115" s="177" t="s">
        <v>162</v>
      </c>
      <c r="B115" s="178" t="s">
        <v>185</v>
      </c>
      <c r="C115" s="37">
        <v>203</v>
      </c>
      <c r="D115" s="179">
        <f>7.02</f>
        <v>7.02</v>
      </c>
      <c r="E115" s="179">
        <f>4.12</f>
        <v>4.12</v>
      </c>
      <c r="F115" s="179">
        <f>30.23</f>
        <v>30.23</v>
      </c>
      <c r="G115" s="179">
        <v>193.53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193.53000000000003</v>
      </c>
    </row>
    <row r="116" spans="1:16" x14ac:dyDescent="0.25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164</v>
      </c>
      <c r="B117" s="50" t="s">
        <v>10</v>
      </c>
      <c r="C117" s="36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5">
      <c r="A118" s="38"/>
      <c r="B118" s="155" t="s">
        <v>11</v>
      </c>
      <c r="C118" s="40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5">
      <c r="A119" s="35"/>
      <c r="B119" s="27"/>
      <c r="C119" s="117">
        <f>SUM(C115:C118)</f>
        <v>503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5">
      <c r="A120" s="35"/>
      <c r="B120" s="217" t="s">
        <v>67</v>
      </c>
      <c r="C120" s="218"/>
      <c r="D120" s="63">
        <f>D121+D122+D123+D124+D125+D126</f>
        <v>24.47</v>
      </c>
      <c r="E120" s="63">
        <f>E121+E122+E123+E124+E125+E126</f>
        <v>38.15</v>
      </c>
      <c r="F120" s="63">
        <f>F121+F122+F123+F124+F125+F126</f>
        <v>76.790000000000006</v>
      </c>
      <c r="G120" s="63">
        <f>G121+G122+G123+G124+G125+G126</f>
        <v>769.14</v>
      </c>
      <c r="H120" s="63">
        <f t="shared" ref="H120:O120" si="19">H121+H122+H123+H124+H125+H126</f>
        <v>0.69000000000000006</v>
      </c>
      <c r="I120" s="63">
        <f t="shared" si="19"/>
        <v>21.71</v>
      </c>
      <c r="J120" s="63">
        <f t="shared" si="19"/>
        <v>0.9</v>
      </c>
      <c r="K120" s="63">
        <f t="shared" si="19"/>
        <v>151.85</v>
      </c>
      <c r="L120" s="63">
        <f t="shared" si="19"/>
        <v>371.56</v>
      </c>
      <c r="M120" s="63">
        <f t="shared" si="19"/>
        <v>129.63</v>
      </c>
      <c r="N120" s="63">
        <f t="shared" si="19"/>
        <v>8.81</v>
      </c>
      <c r="O120" s="64">
        <f t="shared" si="19"/>
        <v>68.8</v>
      </c>
      <c r="P120" s="2">
        <f t="shared" si="13"/>
        <v>768.64200000000005</v>
      </c>
    </row>
    <row r="121" spans="1:16" x14ac:dyDescent="0.2">
      <c r="A121" s="49" t="s">
        <v>68</v>
      </c>
      <c r="B121" s="50" t="s">
        <v>69</v>
      </c>
      <c r="C121" s="51">
        <v>60</v>
      </c>
      <c r="D121" s="57">
        <v>0.84</v>
      </c>
      <c r="E121" s="57">
        <v>3.06</v>
      </c>
      <c r="F121" s="57">
        <v>6.83</v>
      </c>
      <c r="G121" s="57">
        <v>59.75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59.753999999999998</v>
      </c>
    </row>
    <row r="122" spans="1:16" x14ac:dyDescent="0.2">
      <c r="A122" s="28" t="s">
        <v>130</v>
      </c>
      <c r="B122" s="29" t="s">
        <v>193</v>
      </c>
      <c r="C122" s="16">
        <v>200</v>
      </c>
      <c r="D122" s="30">
        <f>7.49-0.99</f>
        <v>6.5</v>
      </c>
      <c r="E122" s="30">
        <f>10.16+12.36-0.84</f>
        <v>21.68</v>
      </c>
      <c r="F122" s="30">
        <f>4.87+6.96-0.27</f>
        <v>11.56</v>
      </c>
      <c r="G122" s="30">
        <v>270.97000000000003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270.97200000000004</v>
      </c>
    </row>
    <row r="123" spans="1:16" x14ac:dyDescent="0.2">
      <c r="A123" s="70" t="s">
        <v>131</v>
      </c>
      <c r="B123" s="50" t="s">
        <v>141</v>
      </c>
      <c r="C123" s="37">
        <v>90</v>
      </c>
      <c r="D123" s="57">
        <v>11.84</v>
      </c>
      <c r="E123" s="57">
        <v>10.06</v>
      </c>
      <c r="F123" s="57">
        <v>16.03</v>
      </c>
      <c r="G123" s="57">
        <v>208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207.59399999999999</v>
      </c>
    </row>
    <row r="124" spans="1:16" x14ac:dyDescent="0.2">
      <c r="A124" s="28" t="s">
        <v>153</v>
      </c>
      <c r="B124" s="50" t="s">
        <v>154</v>
      </c>
      <c r="C124" s="67">
        <v>150</v>
      </c>
      <c r="D124" s="57">
        <v>3.14</v>
      </c>
      <c r="E124" s="30">
        <v>3.27</v>
      </c>
      <c r="F124" s="57">
        <v>22.34</v>
      </c>
      <c r="G124" s="57">
        <v>136.5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136.446</v>
      </c>
    </row>
    <row r="125" spans="1:16" ht="16.5" customHeight="1" x14ac:dyDescent="0.25">
      <c r="A125" s="168" t="s">
        <v>42</v>
      </c>
      <c r="B125" s="50" t="s">
        <v>202</v>
      </c>
      <c r="C125" s="37">
        <v>200</v>
      </c>
      <c r="D125" s="57"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122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5">
      <c r="A127" s="28"/>
      <c r="B127" s="27"/>
      <c r="C127" s="72">
        <f>SUM(C121:C126)</f>
        <v>720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5">
      <c r="A128" s="84" t="s">
        <v>31</v>
      </c>
      <c r="B128" s="215" t="s">
        <v>13</v>
      </c>
      <c r="C128" s="216"/>
      <c r="D128" s="63">
        <f>D129+D136</f>
        <v>49.05</v>
      </c>
      <c r="E128" s="63">
        <f t="shared" ref="E128:O128" si="20">E129+E136</f>
        <v>36.269999999999996</v>
      </c>
      <c r="F128" s="63">
        <f t="shared" si="20"/>
        <v>179.81</v>
      </c>
      <c r="G128" s="63">
        <f>G129+G136</f>
        <v>1288.0619999999999</v>
      </c>
      <c r="H128" s="63">
        <f t="shared" si="20"/>
        <v>0.70899999999999996</v>
      </c>
      <c r="I128" s="63">
        <f t="shared" si="20"/>
        <v>50.81</v>
      </c>
      <c r="J128" s="63">
        <f t="shared" si="20"/>
        <v>56.41</v>
      </c>
      <c r="K128" s="63">
        <f t="shared" si="20"/>
        <v>155.64999999999998</v>
      </c>
      <c r="L128" s="63">
        <f t="shared" si="20"/>
        <v>538.96</v>
      </c>
      <c r="M128" s="63">
        <f t="shared" si="20"/>
        <v>102.84</v>
      </c>
      <c r="N128" s="63">
        <f t="shared" si="20"/>
        <v>11.25</v>
      </c>
      <c r="O128" s="64">
        <f t="shared" si="20"/>
        <v>163.9</v>
      </c>
      <c r="P128" s="2">
        <f t="shared" si="13"/>
        <v>1287.6420000000001</v>
      </c>
    </row>
    <row r="129" spans="1:37" x14ac:dyDescent="0.25">
      <c r="A129" s="119"/>
      <c r="B129" s="215" t="s">
        <v>66</v>
      </c>
      <c r="C129" s="216"/>
      <c r="D129" s="63">
        <f>D130+D131+D132+D133+D134</f>
        <v>28.65</v>
      </c>
      <c r="E129" s="63">
        <f>E130+E131+E132+E133+E134</f>
        <v>11.989999999999998</v>
      </c>
      <c r="F129" s="63">
        <f>F130+F131+F132+F133+F134</f>
        <v>73.56</v>
      </c>
      <c r="G129" s="63">
        <f>G130+G131+G132+G133+G134</f>
        <v>537.27199999999993</v>
      </c>
      <c r="H129" s="63">
        <f t="shared" ref="H129:O129" si="21">H130+H131+H132+H133+H134</f>
        <v>0.43</v>
      </c>
      <c r="I129" s="63">
        <f t="shared" si="21"/>
        <v>29.64</v>
      </c>
      <c r="J129" s="63">
        <f t="shared" si="21"/>
        <v>31.21</v>
      </c>
      <c r="K129" s="63">
        <f t="shared" si="21"/>
        <v>66.05</v>
      </c>
      <c r="L129" s="63">
        <f t="shared" si="21"/>
        <v>341.06000000000006</v>
      </c>
      <c r="M129" s="63">
        <f t="shared" si="21"/>
        <v>38.28</v>
      </c>
      <c r="N129" s="63">
        <f t="shared" si="21"/>
        <v>6.6000000000000005</v>
      </c>
      <c r="O129" s="64">
        <f t="shared" si="21"/>
        <v>71.7</v>
      </c>
      <c r="P129" s="2">
        <f t="shared" si="13"/>
        <v>537.19200000000001</v>
      </c>
    </row>
    <row r="130" spans="1:37" ht="13.5" customHeight="1" x14ac:dyDescent="0.25">
      <c r="A130" s="49"/>
      <c r="B130" s="50" t="s">
        <v>155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156</v>
      </c>
      <c r="C131" s="121">
        <v>120</v>
      </c>
      <c r="D131" s="152">
        <f>18.92+0.06</f>
        <v>18.98</v>
      </c>
      <c r="E131" s="152">
        <f>7.01+0.06</f>
        <v>7.0699999999999994</v>
      </c>
      <c r="F131" s="152">
        <f>15+16.77</f>
        <v>31.77</v>
      </c>
      <c r="G131" s="152">
        <v>276.77999999999997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276.77999999999997</v>
      </c>
    </row>
    <row r="132" spans="1:37" x14ac:dyDescent="0.25">
      <c r="A132" s="90"/>
      <c r="B132" s="156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x14ac:dyDescent="0.25">
      <c r="A133" s="56" t="s">
        <v>42</v>
      </c>
      <c r="B133" s="50" t="s">
        <v>202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5">
      <c r="A134" s="38"/>
      <c r="B134" s="155" t="s">
        <v>11</v>
      </c>
      <c r="C134" s="40">
        <v>40</v>
      </c>
      <c r="D134" s="149">
        <v>3.04</v>
      </c>
      <c r="E134" s="150">
        <v>0.32</v>
      </c>
      <c r="F134" s="149">
        <v>19.68</v>
      </c>
      <c r="G134" s="149">
        <v>98.34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98.303999999999988</v>
      </c>
    </row>
    <row r="135" spans="1:37" x14ac:dyDescent="0.25">
      <c r="A135" s="28"/>
      <c r="B135" s="122"/>
      <c r="C135" s="72">
        <f>SUM(C130:C134)</f>
        <v>500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5">
      <c r="A136" s="28"/>
      <c r="B136" s="217" t="s">
        <v>67</v>
      </c>
      <c r="C136" s="218"/>
      <c r="D136" s="63">
        <f>D137+D138+D139+D140+D141+D142</f>
        <v>20.399999999999999</v>
      </c>
      <c r="E136" s="63">
        <f>E137+E138+E139+E140+E141+E142</f>
        <v>24.279999999999998</v>
      </c>
      <c r="F136" s="63">
        <f>F137+F138+F139+F140+F141+F142</f>
        <v>106.25</v>
      </c>
      <c r="G136" s="63">
        <f>G137+G138+G139+G140+G141+G142</f>
        <v>750.79</v>
      </c>
      <c r="H136" s="63">
        <f t="shared" ref="H136:O136" si="22">H137+H138+H139+H140+H141+H142</f>
        <v>0.27899999999999997</v>
      </c>
      <c r="I136" s="63">
        <f t="shared" si="22"/>
        <v>21.17</v>
      </c>
      <c r="J136" s="63">
        <f t="shared" si="22"/>
        <v>25.2</v>
      </c>
      <c r="K136" s="63">
        <f t="shared" si="22"/>
        <v>89.6</v>
      </c>
      <c r="L136" s="63">
        <f t="shared" si="22"/>
        <v>197.9</v>
      </c>
      <c r="M136" s="63">
        <f t="shared" si="22"/>
        <v>64.56</v>
      </c>
      <c r="N136" s="63">
        <f t="shared" si="22"/>
        <v>4.6500000000000004</v>
      </c>
      <c r="O136" s="64">
        <f t="shared" si="22"/>
        <v>92.2</v>
      </c>
      <c r="P136" s="2">
        <f t="shared" ref="P136:P143" si="23">(D136+F136)*4.2+E136*9</f>
        <v>750.45</v>
      </c>
    </row>
    <row r="137" spans="1:37" x14ac:dyDescent="0.2">
      <c r="A137" s="28" t="s">
        <v>82</v>
      </c>
      <c r="B137" s="75" t="s">
        <v>83</v>
      </c>
      <c r="C137" s="54">
        <v>60</v>
      </c>
      <c r="D137" s="97">
        <v>1.21</v>
      </c>
      <c r="E137" s="30">
        <v>6.2</v>
      </c>
      <c r="F137" s="30">
        <v>12.33</v>
      </c>
      <c r="G137" s="30">
        <v>113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si="23"/>
        <v>112.66800000000001</v>
      </c>
    </row>
    <row r="138" spans="1:37" ht="22.8" x14ac:dyDescent="0.2">
      <c r="A138" s="28" t="s">
        <v>124</v>
      </c>
      <c r="B138" s="29" t="s">
        <v>160</v>
      </c>
      <c r="C138" s="16">
        <v>200</v>
      </c>
      <c r="D138" s="30">
        <f>3.96-0.86</f>
        <v>3.1</v>
      </c>
      <c r="E138" s="30">
        <f>4.86-0.84</f>
        <v>4.0200000000000005</v>
      </c>
      <c r="F138" s="30">
        <f>17.01-0.09</f>
        <v>16.920000000000002</v>
      </c>
      <c r="G138" s="30">
        <v>120.26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3"/>
        <v>120.26400000000002</v>
      </c>
    </row>
    <row r="139" spans="1:37" x14ac:dyDescent="0.25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3"/>
        <v>187.00799999999998</v>
      </c>
    </row>
    <row r="140" spans="1:37" x14ac:dyDescent="0.25">
      <c r="A140" s="158" t="s">
        <v>38</v>
      </c>
      <c r="B140" s="50" t="s">
        <v>36</v>
      </c>
      <c r="C140" s="37">
        <v>150</v>
      </c>
      <c r="D140" s="57">
        <v>8.77</v>
      </c>
      <c r="E140" s="57">
        <v>5.19</v>
      </c>
      <c r="F140" s="57">
        <v>39.630000000000003</v>
      </c>
      <c r="G140" s="57">
        <v>250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3"/>
        <v>249.99000000000004</v>
      </c>
    </row>
    <row r="141" spans="1:37" x14ac:dyDescent="0.25">
      <c r="A141" s="33" t="s">
        <v>164</v>
      </c>
      <c r="B141" s="154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3"/>
        <v>42</v>
      </c>
    </row>
    <row r="142" spans="1:37" ht="12" customHeight="1" x14ac:dyDescent="0.2">
      <c r="A142" s="35"/>
      <c r="B142" s="122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3"/>
        <v>38.520000000000003</v>
      </c>
    </row>
    <row r="143" spans="1:37" x14ac:dyDescent="0.25">
      <c r="A143" s="123"/>
      <c r="B143" s="27"/>
      <c r="C143" s="74">
        <f>SUM(C137:C142)</f>
        <v>745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3"/>
        <v>0</v>
      </c>
    </row>
    <row r="144" spans="1:37" x14ac:dyDescent="0.25">
      <c r="A144" s="119" t="s">
        <v>63</v>
      </c>
      <c r="B144" s="220" t="s">
        <v>9</v>
      </c>
      <c r="C144" s="216"/>
      <c r="D144" s="63">
        <f>D145+D152</f>
        <v>45.089999999999989</v>
      </c>
      <c r="E144" s="63">
        <f t="shared" ref="E144:O144" si="24">E145+E152</f>
        <v>46.26</v>
      </c>
      <c r="F144" s="63">
        <f t="shared" si="24"/>
        <v>160.65</v>
      </c>
      <c r="G144" s="63">
        <f>G145+G152</f>
        <v>1282.06</v>
      </c>
      <c r="H144" s="63">
        <f t="shared" si="24"/>
        <v>0.60000000000000009</v>
      </c>
      <c r="I144" s="63">
        <f t="shared" si="24"/>
        <v>71.45</v>
      </c>
      <c r="J144" s="63">
        <f t="shared" si="24"/>
        <v>0.34</v>
      </c>
      <c r="K144" s="63">
        <f t="shared" si="24"/>
        <v>281.49</v>
      </c>
      <c r="L144" s="63">
        <f t="shared" si="24"/>
        <v>332.28</v>
      </c>
      <c r="M144" s="63">
        <f t="shared" si="24"/>
        <v>76.59</v>
      </c>
      <c r="N144" s="63">
        <f t="shared" si="24"/>
        <v>10.55</v>
      </c>
      <c r="O144" s="64">
        <f t="shared" si="24"/>
        <v>160.69999999999999</v>
      </c>
      <c r="P144" s="214"/>
      <c r="Q144" s="214"/>
      <c r="R144" s="21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5">
      <c r="A145" s="84"/>
      <c r="B145" s="215" t="s">
        <v>66</v>
      </c>
      <c r="C145" s="216"/>
      <c r="D145" s="63">
        <f>D146+D147+D148+D149+D150</f>
        <v>24.859999999999996</v>
      </c>
      <c r="E145" s="63">
        <f>E146+E147+E148+E149+E150</f>
        <v>13.040000000000001</v>
      </c>
      <c r="F145" s="63">
        <f>F146+F147+F148+F149+F150</f>
        <v>74.819999999999993</v>
      </c>
      <c r="G145" s="63">
        <f>G146+G147+G148+G149+G150</f>
        <v>536.82000000000005</v>
      </c>
      <c r="H145" s="63">
        <f t="shared" ref="H145:O145" si="25">H146+H147+H148+H150</f>
        <v>0.2</v>
      </c>
      <c r="I145" s="63">
        <f t="shared" si="25"/>
        <v>17.75</v>
      </c>
      <c r="J145" s="63">
        <f t="shared" si="25"/>
        <v>0.34</v>
      </c>
      <c r="K145" s="63">
        <f t="shared" si="25"/>
        <v>158.6</v>
      </c>
      <c r="L145" s="63">
        <f t="shared" si="25"/>
        <v>188.4</v>
      </c>
      <c r="M145" s="63">
        <f t="shared" si="25"/>
        <v>24.8</v>
      </c>
      <c r="N145" s="63">
        <f t="shared" si="25"/>
        <v>5.07</v>
      </c>
      <c r="O145" s="64">
        <f t="shared" si="25"/>
        <v>77.5</v>
      </c>
      <c r="P145" s="174">
        <f>(D145+F145)*4.2+E145*9</f>
        <v>536.01600000000008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5">
      <c r="A146" s="22">
        <v>110</v>
      </c>
      <c r="B146" s="50" t="s">
        <v>157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59" si="26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9" t="s">
        <v>171</v>
      </c>
      <c r="B147" s="29" t="s">
        <v>150</v>
      </c>
      <c r="C147" s="37">
        <v>150</v>
      </c>
      <c r="D147" s="57">
        <v>3.81</v>
      </c>
      <c r="E147" s="57">
        <v>2.72</v>
      </c>
      <c r="F147" s="57">
        <v>40</v>
      </c>
      <c r="G147" s="57">
        <v>208.48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6"/>
        <v>208.482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173</v>
      </c>
      <c r="B148" s="50" t="s">
        <v>158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6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164</v>
      </c>
      <c r="B149" s="50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6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5">
      <c r="A150" s="38"/>
      <c r="B150" s="155" t="s">
        <v>11</v>
      </c>
      <c r="C150" s="40">
        <v>40</v>
      </c>
      <c r="D150" s="149">
        <v>3.04</v>
      </c>
      <c r="E150" s="150">
        <v>0.32</v>
      </c>
      <c r="F150" s="149">
        <v>19.68</v>
      </c>
      <c r="G150" s="149">
        <v>98.34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6"/>
        <v>98.303999999999988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5">
      <c r="A151" s="28"/>
      <c r="B151" s="27"/>
      <c r="C151" s="140">
        <f>SUM(C146:C150)</f>
        <v>510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6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5">
      <c r="A152" s="28"/>
      <c r="B152" s="217" t="s">
        <v>67</v>
      </c>
      <c r="C152" s="218"/>
      <c r="D152" s="63">
        <f>D153+D154+D155+D156+D157+D158</f>
        <v>20.229999999999997</v>
      </c>
      <c r="E152" s="63">
        <f t="shared" ref="E152:O152" si="27">E153+E154+E155+E156+E157+E158</f>
        <v>33.22</v>
      </c>
      <c r="F152" s="63">
        <f t="shared" si="27"/>
        <v>85.830000000000013</v>
      </c>
      <c r="G152" s="63">
        <f>G153+G154+G155+G156+G157+G158</f>
        <v>745.24</v>
      </c>
      <c r="H152" s="63">
        <f t="shared" si="27"/>
        <v>0.4</v>
      </c>
      <c r="I152" s="63">
        <f t="shared" si="27"/>
        <v>53.7</v>
      </c>
      <c r="J152" s="63">
        <f t="shared" si="27"/>
        <v>0</v>
      </c>
      <c r="K152" s="63">
        <f t="shared" si="27"/>
        <v>122.88999999999999</v>
      </c>
      <c r="L152" s="63">
        <f t="shared" si="27"/>
        <v>143.88</v>
      </c>
      <c r="M152" s="63">
        <f t="shared" si="27"/>
        <v>51.79</v>
      </c>
      <c r="N152" s="63">
        <f t="shared" si="27"/>
        <v>5.4800000000000013</v>
      </c>
      <c r="O152" s="64">
        <f t="shared" si="27"/>
        <v>83.2</v>
      </c>
      <c r="P152" s="174">
        <f t="shared" si="26"/>
        <v>744.43200000000002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5">
      <c r="A153" s="167" t="s">
        <v>175</v>
      </c>
      <c r="B153" s="75" t="s">
        <v>142</v>
      </c>
      <c r="C153" s="54">
        <v>60</v>
      </c>
      <c r="D153" s="76">
        <v>0.74</v>
      </c>
      <c r="E153" s="76">
        <v>0.06</v>
      </c>
      <c r="F153" s="76">
        <v>6.92</v>
      </c>
      <c r="G153" s="76">
        <v>33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6"/>
        <v>32.712000000000003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5">
      <c r="A154" s="160" t="s">
        <v>101</v>
      </c>
      <c r="B154" s="29" t="s">
        <v>194</v>
      </c>
      <c r="C154" s="16">
        <v>200</v>
      </c>
      <c r="D154" s="30">
        <f>5.81-0.9</f>
        <v>4.9099999999999993</v>
      </c>
      <c r="E154" s="30">
        <f>11.82-0.81</f>
        <v>11.01</v>
      </c>
      <c r="F154" s="30">
        <f>15.48-0.05</f>
        <v>15.43</v>
      </c>
      <c r="G154" s="30">
        <f>196-11.17</f>
        <v>184.83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6"/>
        <v>184.518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5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6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2" customHeight="1" x14ac:dyDescent="0.25">
      <c r="A156" s="70" t="s">
        <v>132</v>
      </c>
      <c r="B156" s="50" t="s">
        <v>133</v>
      </c>
      <c r="C156" s="37">
        <v>150</v>
      </c>
      <c r="D156" s="57">
        <v>5.77</v>
      </c>
      <c r="E156" s="57">
        <v>10.08</v>
      </c>
      <c r="F156" s="57">
        <v>30.69</v>
      </c>
      <c r="G156" s="57">
        <v>244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6"/>
        <v>243.852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x14ac:dyDescent="0.25">
      <c r="A157" s="81" t="s">
        <v>42</v>
      </c>
      <c r="B157" s="50" t="s">
        <v>202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6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5">
      <c r="A158" s="35"/>
      <c r="B158" s="122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6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5">
      <c r="A159" s="28"/>
      <c r="B159" s="137"/>
      <c r="C159" s="138">
        <f>SUM(C153:C158)</f>
        <v>735</v>
      </c>
      <c r="D159" s="153"/>
      <c r="E159" s="153"/>
      <c r="F159" s="153"/>
      <c r="G159" s="153"/>
      <c r="H159" s="137"/>
      <c r="I159" s="137"/>
      <c r="J159" s="137"/>
      <c r="K159" s="137"/>
      <c r="L159" s="137"/>
      <c r="M159" s="137"/>
      <c r="N159" s="137"/>
      <c r="P159" s="174">
        <f t="shared" si="26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</sheetData>
  <mergeCells count="36">
    <mergeCell ref="K3:N3"/>
    <mergeCell ref="B6:C6"/>
    <mergeCell ref="B39:C39"/>
    <mergeCell ref="C1:J2"/>
    <mergeCell ref="D3:F3"/>
    <mergeCell ref="G3:G4"/>
    <mergeCell ref="H3:I3"/>
    <mergeCell ref="B7:C7"/>
    <mergeCell ref="B17:C17"/>
    <mergeCell ref="B24:C24"/>
    <mergeCell ref="B25:C25"/>
    <mergeCell ref="B31:C31"/>
    <mergeCell ref="A98:C98"/>
    <mergeCell ref="B40:C40"/>
    <mergeCell ref="B46:C46"/>
    <mergeCell ref="B55:C55"/>
    <mergeCell ref="B56:C56"/>
    <mergeCell ref="B62:C62"/>
    <mergeCell ref="B69:C69"/>
    <mergeCell ref="B70:C70"/>
    <mergeCell ref="B76:C76"/>
    <mergeCell ref="B84:C84"/>
    <mergeCell ref="B85:C85"/>
    <mergeCell ref="B91:C91"/>
    <mergeCell ref="P144:R144"/>
    <mergeCell ref="B145:C145"/>
    <mergeCell ref="B152:C152"/>
    <mergeCell ref="B99:C99"/>
    <mergeCell ref="B105:C105"/>
    <mergeCell ref="B113:C113"/>
    <mergeCell ref="B114:C114"/>
    <mergeCell ref="B120:C120"/>
    <mergeCell ref="B128:C128"/>
    <mergeCell ref="B129:C129"/>
    <mergeCell ref="B136:C136"/>
    <mergeCell ref="B144:C144"/>
  </mergeCells>
  <pageMargins left="0.75" right="0.75" top="1" bottom="1" header="0.5" footer="0.5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K161"/>
  <sheetViews>
    <sheetView zoomScale="136" zoomScaleNormal="136" workbookViewId="0">
      <selection activeCell="B2" sqref="B2"/>
    </sheetView>
  </sheetViews>
  <sheetFormatPr defaultColWidth="9.109375" defaultRowHeight="13.2" x14ac:dyDescent="0.25"/>
  <cols>
    <col min="1" max="1" width="11" style="1" customWidth="1"/>
    <col min="2" max="2" width="32.88671875" style="2" customWidth="1"/>
    <col min="3" max="3" width="7.88671875" style="2" customWidth="1"/>
    <col min="4" max="4" width="7.33203125" style="2" customWidth="1"/>
    <col min="5" max="5" width="7.6640625" style="2" customWidth="1"/>
    <col min="6" max="6" width="7.44140625" style="2" customWidth="1"/>
    <col min="7" max="7" width="8.5546875" style="2" customWidth="1"/>
    <col min="8" max="8" width="5.5546875" style="2" hidden="1" customWidth="1"/>
    <col min="9" max="9" width="6.5546875" style="2" hidden="1" customWidth="1"/>
    <col min="10" max="10" width="7.44140625" style="2" hidden="1" customWidth="1"/>
    <col min="11" max="11" width="7" style="2" hidden="1" customWidth="1"/>
    <col min="12" max="12" width="6.6640625" style="2" hidden="1" customWidth="1"/>
    <col min="13" max="13" width="6.33203125" style="2" hidden="1" customWidth="1"/>
    <col min="14" max="14" width="5.88671875" style="2" hidden="1" customWidth="1"/>
    <col min="15" max="16" width="9.109375" style="2" hidden="1" customWidth="1"/>
    <col min="17" max="17" width="14.33203125" style="2" hidden="1" customWidth="1"/>
    <col min="18" max="18" width="0" style="2" hidden="1" customWidth="1"/>
    <col min="19" max="16384" width="9.109375" style="2"/>
  </cols>
  <sheetData>
    <row r="1" spans="1:17" x14ac:dyDescent="0.25">
      <c r="B1" s="2" t="s">
        <v>197</v>
      </c>
      <c r="C1" s="224" t="s">
        <v>177</v>
      </c>
      <c r="D1" s="224"/>
      <c r="E1" s="224"/>
      <c r="F1" s="224"/>
      <c r="G1" s="224"/>
      <c r="H1" s="224"/>
      <c r="I1" s="224"/>
      <c r="J1" s="224"/>
    </row>
    <row r="2" spans="1:17" x14ac:dyDescent="0.25">
      <c r="B2" s="2" t="s">
        <v>195</v>
      </c>
      <c r="C2" s="225"/>
      <c r="D2" s="225"/>
      <c r="E2" s="225"/>
      <c r="F2" s="225"/>
      <c r="G2" s="225"/>
      <c r="H2" s="225"/>
      <c r="I2" s="225"/>
      <c r="J2" s="225"/>
    </row>
    <row r="3" spans="1:17" ht="33.75" customHeight="1" x14ac:dyDescent="0.25">
      <c r="A3" s="3" t="s">
        <v>0</v>
      </c>
      <c r="B3" s="4" t="s">
        <v>6</v>
      </c>
      <c r="C3" s="5" t="s">
        <v>14</v>
      </c>
      <c r="D3" s="226" t="s">
        <v>16</v>
      </c>
      <c r="E3" s="227"/>
      <c r="F3" s="228"/>
      <c r="G3" s="229" t="s">
        <v>23</v>
      </c>
      <c r="H3" s="231" t="s">
        <v>53</v>
      </c>
      <c r="I3" s="232"/>
      <c r="J3" s="175" t="s">
        <v>52</v>
      </c>
      <c r="K3" s="221" t="s">
        <v>75</v>
      </c>
      <c r="L3" s="222"/>
      <c r="M3" s="222"/>
      <c r="N3" s="223"/>
    </row>
    <row r="4" spans="1:17" ht="34.5" customHeight="1" x14ac:dyDescent="0.25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30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5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5">
      <c r="A6" s="18" t="s">
        <v>3</v>
      </c>
      <c r="B6" s="220" t="s">
        <v>13</v>
      </c>
      <c r="C6" s="216"/>
      <c r="D6" s="19">
        <f>D7+D17</f>
        <v>46.032899999999998</v>
      </c>
      <c r="E6" s="19">
        <f t="shared" ref="E6:O6" si="0">E7+E17</f>
        <v>55.882099999999994</v>
      </c>
      <c r="F6" s="19">
        <f t="shared" si="0"/>
        <v>208.61605</v>
      </c>
      <c r="G6" s="19">
        <f>G7+G17</f>
        <v>1576.0574999999999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5">
      <c r="A7" s="21"/>
      <c r="B7" s="171" t="s">
        <v>66</v>
      </c>
      <c r="C7" s="171"/>
      <c r="D7" s="19">
        <f>D8+D9+D10+D11+D12+D13</f>
        <v>19.192499999999999</v>
      </c>
      <c r="E7" s="19">
        <f>E8+E9+E10+E11+E12+E13</f>
        <v>26.0825</v>
      </c>
      <c r="F7" s="19">
        <f>F8+F9+F10+F11+F12+F13</f>
        <v>105.54750000000001</v>
      </c>
      <c r="G7" s="19">
        <f>G8+G9+G10+G11+G12+G13</f>
        <v>759.97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5">
      <c r="A8" s="22" t="s">
        <v>163</v>
      </c>
      <c r="B8" s="23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5">
      <c r="A9" s="22" t="s">
        <v>161</v>
      </c>
      <c r="B9" s="27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2.8" x14ac:dyDescent="0.2">
      <c r="A10" s="28" t="s">
        <v>162</v>
      </c>
      <c r="B10" s="29" t="s">
        <v>183</v>
      </c>
      <c r="C10" s="16">
        <v>255</v>
      </c>
      <c r="D10" s="30">
        <f>6.81*1.25</f>
        <v>8.5124999999999993</v>
      </c>
      <c r="E10" s="30">
        <f>10.45*1.25</f>
        <v>13.0625</v>
      </c>
      <c r="F10" s="30">
        <f>29.51*1.25</f>
        <v>36.887500000000003</v>
      </c>
      <c r="G10" s="30">
        <f>246.6*1.25</f>
        <v>308.25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308.24250000000006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165</v>
      </c>
      <c r="B12" s="32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5">
      <c r="A13" s="33"/>
      <c r="B13" s="23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5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5">
      <c r="A16" s="38"/>
      <c r="B16" s="39"/>
      <c r="C16" s="45">
        <f>SUM(C8:C15)</f>
        <v>550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5">
      <c r="A17" s="46"/>
      <c r="B17" s="176" t="s">
        <v>67</v>
      </c>
      <c r="C17" s="47"/>
      <c r="D17" s="48">
        <f>D18+D19+D20+D21+D22</f>
        <v>26.840399999999999</v>
      </c>
      <c r="E17" s="48">
        <f t="shared" ref="E17:O17" si="3">E18+E19+E20+E21+E22</f>
        <v>29.799599999999998</v>
      </c>
      <c r="F17" s="48">
        <f t="shared" si="3"/>
        <v>103.06854999999999</v>
      </c>
      <c r="G17" s="48">
        <f>G18+G19+G20+G21+G22</f>
        <v>816.08749999999986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813.81398999999988</v>
      </c>
      <c r="Q17" s="2">
        <v>705</v>
      </c>
    </row>
    <row r="18" spans="1:17" x14ac:dyDescent="0.2">
      <c r="A18" s="49" t="s">
        <v>174</v>
      </c>
      <c r="B18" s="50" t="s">
        <v>136</v>
      </c>
      <c r="C18" s="51">
        <v>100</v>
      </c>
      <c r="D18" s="57">
        <f>0.94*1.66</f>
        <v>1.5603999999999998</v>
      </c>
      <c r="E18" s="57">
        <f>4.06*1.66</f>
        <v>6.7395999999999994</v>
      </c>
      <c r="F18" s="57">
        <f>5.96*1.66</f>
        <v>9.8935999999999993</v>
      </c>
      <c r="G18" s="57">
        <v>108.76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108.76319999999998</v>
      </c>
    </row>
    <row r="19" spans="1:17" ht="11.25" customHeight="1" x14ac:dyDescent="0.2">
      <c r="A19" s="28" t="s">
        <v>166</v>
      </c>
      <c r="B19" s="29" t="s">
        <v>189</v>
      </c>
      <c r="C19" s="16">
        <v>250</v>
      </c>
      <c r="D19" s="30">
        <f>3*1.25</f>
        <v>3.75</v>
      </c>
      <c r="E19" s="30">
        <f>(4.61-0.21)*1.25</f>
        <v>5.5</v>
      </c>
      <c r="F19" s="30">
        <f>(12.54-0.05)*1.255</f>
        <v>15.674949999999997</v>
      </c>
      <c r="G19" s="30">
        <f>106.65*1.25</f>
        <v>133.3125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131.08479</v>
      </c>
    </row>
    <row r="20" spans="1:17" x14ac:dyDescent="0.25">
      <c r="A20" s="158" t="s">
        <v>170</v>
      </c>
      <c r="B20" s="32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5">
      <c r="A21" s="159" t="s">
        <v>164</v>
      </c>
      <c r="B21" s="27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73" t="s">
        <v>11</v>
      </c>
      <c r="C22" s="16">
        <v>50</v>
      </c>
      <c r="D22" s="57">
        <f>3.04*1.25</f>
        <v>3.8</v>
      </c>
      <c r="E22" s="30">
        <f>0.32*1.25</f>
        <v>0.4</v>
      </c>
      <c r="F22" s="57">
        <f>19.68*1.25</f>
        <v>24.6</v>
      </c>
      <c r="G22" s="57">
        <f>98.34*1.25</f>
        <v>122.92500000000001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122.88000000000001</v>
      </c>
    </row>
    <row r="23" spans="1:17" x14ac:dyDescent="0.25">
      <c r="A23" s="38"/>
      <c r="B23" s="39"/>
      <c r="C23" s="45">
        <f>SUM(C18:C22)</f>
        <v>800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5">
      <c r="A24" s="18" t="s">
        <v>4</v>
      </c>
      <c r="B24" s="215" t="s">
        <v>13</v>
      </c>
      <c r="C24" s="216"/>
      <c r="D24" s="19">
        <f t="shared" ref="D24:O24" si="4">D25+D31</f>
        <v>44.527439999999999</v>
      </c>
      <c r="E24" s="19">
        <f t="shared" si="4"/>
        <v>48.913459999999993</v>
      </c>
      <c r="F24" s="19">
        <f t="shared" si="4"/>
        <v>220.61378000000002</v>
      </c>
      <c r="G24" s="19">
        <f>G25+G31</f>
        <v>1556.9634999999998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1553.8142640000001</v>
      </c>
    </row>
    <row r="25" spans="1:17" x14ac:dyDescent="0.25">
      <c r="A25" s="18"/>
      <c r="B25" s="173" t="s">
        <v>66</v>
      </c>
      <c r="C25" s="172"/>
      <c r="D25" s="19">
        <f>D26+D27+D28+D29</f>
        <v>17.302499999999998</v>
      </c>
      <c r="E25" s="19">
        <f>E26+E27+E28+E29</f>
        <v>13.0875</v>
      </c>
      <c r="F25" s="19">
        <f>F26+F27+F28+F29</f>
        <v>116.45750000000001</v>
      </c>
      <c r="G25" s="19">
        <f>G26+G27+G28+G29</f>
        <v>681.25000000000011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679.57950000000017</v>
      </c>
      <c r="Q25" s="2">
        <v>470</v>
      </c>
    </row>
    <row r="26" spans="1:17" ht="22.8" x14ac:dyDescent="0.25">
      <c r="A26" s="126" t="s">
        <v>162</v>
      </c>
      <c r="B26" s="50" t="s">
        <v>185</v>
      </c>
      <c r="C26" s="37">
        <v>253</v>
      </c>
      <c r="D26" s="57">
        <f>7.81*1.25</f>
        <v>9.7624999999999993</v>
      </c>
      <c r="E26" s="57">
        <f>4.55*1.25</f>
        <v>5.6875</v>
      </c>
      <c r="F26" s="57">
        <f>33.47*1.25</f>
        <v>41.837499999999999</v>
      </c>
      <c r="G26" s="57">
        <v>267.91000000000003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267.90750000000003</v>
      </c>
    </row>
    <row r="27" spans="1:17" x14ac:dyDescent="0.25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5">
      <c r="A28" s="160" t="s">
        <v>164</v>
      </c>
      <c r="B28" s="27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5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5">
      <c r="A30" s="28"/>
      <c r="B30" s="27"/>
      <c r="C30" s="60">
        <f>SUM(C26:C29)</f>
        <v>553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5">
      <c r="A31" s="61"/>
      <c r="B31" s="176" t="s">
        <v>67</v>
      </c>
      <c r="C31" s="62"/>
      <c r="D31" s="63">
        <f>D32+D33+D34+D35+D36+D37</f>
        <v>27.22494</v>
      </c>
      <c r="E31" s="63">
        <f>E32+E33+E34+E35+E36+E37</f>
        <v>35.825959999999995</v>
      </c>
      <c r="F31" s="63">
        <f>F32+F33+F34+F35+F36+F37</f>
        <v>104.15628000000001</v>
      </c>
      <c r="G31" s="63">
        <f>G32+G33+G34+G35+G36+G37</f>
        <v>875.71349999999984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874.23476400000004</v>
      </c>
      <c r="Q31" s="2">
        <v>705</v>
      </c>
    </row>
    <row r="32" spans="1:17" x14ac:dyDescent="0.2">
      <c r="A32" s="28" t="s">
        <v>68</v>
      </c>
      <c r="B32" s="65" t="s">
        <v>69</v>
      </c>
      <c r="C32" s="54">
        <v>100</v>
      </c>
      <c r="D32" s="97">
        <f>0.84*1.666</f>
        <v>1.3994399999999998</v>
      </c>
      <c r="E32" s="30">
        <f>3.06*1.666</f>
        <v>5.0979599999999996</v>
      </c>
      <c r="F32" s="30">
        <f>6.83*1.666</f>
        <v>11.378779999999999</v>
      </c>
      <c r="G32" s="30">
        <f>59.75*1.666</f>
        <v>99.543499999999995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99.550163999999995</v>
      </c>
    </row>
    <row r="33" spans="1:17" x14ac:dyDescent="0.25">
      <c r="A33" s="161" t="s">
        <v>167</v>
      </c>
      <c r="B33" s="50" t="s">
        <v>159</v>
      </c>
      <c r="C33" s="37">
        <v>250</v>
      </c>
      <c r="D33" s="57">
        <f>(2.57-0.86)*1.25</f>
        <v>2.1375000000000002</v>
      </c>
      <c r="E33" s="57">
        <f>8.4*1.25</f>
        <v>10.5</v>
      </c>
      <c r="F33" s="57">
        <f>17.95*1.25</f>
        <v>22.4375</v>
      </c>
      <c r="G33" s="57">
        <f>158.72*1.25</f>
        <v>198.4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197.715</v>
      </c>
    </row>
    <row r="34" spans="1:17" x14ac:dyDescent="0.25">
      <c r="A34" s="162" t="s">
        <v>43</v>
      </c>
      <c r="B34" s="27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27" t="s">
        <v>12</v>
      </c>
      <c r="C35" s="67">
        <v>180</v>
      </c>
      <c r="D35" s="57">
        <f>5.64*1.2</f>
        <v>6.7679999999999998</v>
      </c>
      <c r="E35" s="30">
        <f>2.84*1.2</f>
        <v>3.4079999999999999</v>
      </c>
      <c r="F35" s="57">
        <f>36*1.2</f>
        <v>43.199999999999996</v>
      </c>
      <c r="G35" s="57">
        <f>201*1.2</f>
        <v>241.2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240.5376</v>
      </c>
    </row>
    <row r="36" spans="1:17" x14ac:dyDescent="0.25">
      <c r="A36" s="163" t="s">
        <v>42</v>
      </c>
      <c r="B36" s="68" t="s">
        <v>202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27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5">
      <c r="A38" s="28"/>
      <c r="B38" s="27"/>
      <c r="C38" s="60">
        <f>SUM(C32:C37)</f>
        <v>850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5">
      <c r="A39" s="18" t="s">
        <v>5</v>
      </c>
      <c r="B39" s="220" t="s">
        <v>13</v>
      </c>
      <c r="C39" s="216"/>
      <c r="D39" s="19">
        <f>D40+D46</f>
        <v>42.429600000000001</v>
      </c>
      <c r="E39" s="19">
        <f t="shared" ref="E39:O39" si="6">E40+E46</f>
        <v>38.7911</v>
      </c>
      <c r="F39" s="19">
        <f t="shared" si="6"/>
        <v>220.95490000000001</v>
      </c>
      <c r="G39" s="19">
        <f>G40+G46</f>
        <v>1456.335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1455.3348000000001</v>
      </c>
    </row>
    <row r="40" spans="1:17" x14ac:dyDescent="0.25">
      <c r="A40" s="21"/>
      <c r="B40" s="171" t="s">
        <v>66</v>
      </c>
      <c r="C40" s="171"/>
      <c r="D40" s="19">
        <f>D41+D42+D43+D44</f>
        <v>13.68</v>
      </c>
      <c r="E40" s="19">
        <f t="shared" ref="E40:O40" si="7">E41+E42+E43+E44</f>
        <v>8.5</v>
      </c>
      <c r="F40" s="19">
        <f t="shared" si="7"/>
        <v>101.5</v>
      </c>
      <c r="G40" s="19">
        <f>G41+G42+G43+G44</f>
        <v>560.125</v>
      </c>
      <c r="H40" s="19">
        <f t="shared" si="7"/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560.25600000000009</v>
      </c>
      <c r="Q40" s="2">
        <v>470</v>
      </c>
    </row>
    <row r="41" spans="1:17" x14ac:dyDescent="0.25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2.8" x14ac:dyDescent="0.2">
      <c r="A42" s="54" t="s">
        <v>162</v>
      </c>
      <c r="B42" s="29" t="s">
        <v>187</v>
      </c>
      <c r="C42" s="16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203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22"/>
      <c r="B44" s="73" t="s">
        <v>11</v>
      </c>
      <c r="C44" s="16">
        <v>50</v>
      </c>
      <c r="D44" s="57">
        <f>3.04*1.25</f>
        <v>3.8</v>
      </c>
      <c r="E44" s="30">
        <f>0.32*1.25</f>
        <v>0.4</v>
      </c>
      <c r="F44" s="57">
        <f>19.68*1.25</f>
        <v>24.6</v>
      </c>
      <c r="G44" s="57">
        <f>98.34*1.25</f>
        <v>122.92500000000001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122.88000000000001</v>
      </c>
    </row>
    <row r="45" spans="1:17" x14ac:dyDescent="0.25">
      <c r="A45" s="22"/>
      <c r="B45" s="27"/>
      <c r="C45" s="72">
        <f>SUM(C41:C44)</f>
        <v>553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5">
      <c r="A46" s="22"/>
      <c r="B46" s="176" t="s">
        <v>67</v>
      </c>
      <c r="C46" s="72"/>
      <c r="D46" s="63">
        <f>D47+D48+D49+D50+D51+D52</f>
        <v>28.749600000000001</v>
      </c>
      <c r="E46" s="63">
        <f t="shared" ref="E46:O46" si="8">E47+E48+E49+E50+E51+E52</f>
        <v>30.2911</v>
      </c>
      <c r="F46" s="63">
        <f t="shared" si="8"/>
        <v>119.45490000000001</v>
      </c>
      <c r="G46" s="63">
        <f>G47+G48+G49+G50+G51+G52</f>
        <v>896.21</v>
      </c>
      <c r="H46" s="63">
        <f t="shared" si="8"/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895.0788</v>
      </c>
      <c r="Q46" s="2">
        <v>705</v>
      </c>
    </row>
    <row r="47" spans="1:17" x14ac:dyDescent="0.2">
      <c r="A47" s="49" t="s">
        <v>82</v>
      </c>
      <c r="B47" s="122" t="s">
        <v>83</v>
      </c>
      <c r="C47" s="37">
        <v>100</v>
      </c>
      <c r="D47" s="57">
        <f>1.21*1.67</f>
        <v>2.0206999999999997</v>
      </c>
      <c r="E47" s="57">
        <f>6.2*1.67</f>
        <v>10.353999999999999</v>
      </c>
      <c r="F47" s="57">
        <f>12.33*1.67</f>
        <v>20.591100000000001</v>
      </c>
      <c r="G47" s="57">
        <f>113*1.67</f>
        <v>188.70999999999998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188.15556000000001</v>
      </c>
    </row>
    <row r="48" spans="1:17" x14ac:dyDescent="0.2">
      <c r="A48" s="165" t="s">
        <v>117</v>
      </c>
      <c r="B48" s="146" t="s">
        <v>199</v>
      </c>
      <c r="C48" s="16">
        <v>250</v>
      </c>
      <c r="D48" s="30">
        <f>1.65*1.25</f>
        <v>2.0625</v>
      </c>
      <c r="E48" s="30">
        <f>1.97*1.25</f>
        <v>2.4624999999999999</v>
      </c>
      <c r="F48" s="30">
        <f>11.49*1.25</f>
        <v>14.362500000000001</v>
      </c>
      <c r="G48" s="30">
        <f>73.68*1.25</f>
        <v>92.100000000000009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91.147499999999994</v>
      </c>
    </row>
    <row r="49" spans="1:16" x14ac:dyDescent="0.25">
      <c r="A49" s="70" t="s">
        <v>131</v>
      </c>
      <c r="B49" s="73" t="s">
        <v>141</v>
      </c>
      <c r="C49" s="37">
        <v>100</v>
      </c>
      <c r="D49" s="57">
        <f>11.84*1.11</f>
        <v>13.1424</v>
      </c>
      <c r="E49" s="57">
        <f>10.06*1.11</f>
        <v>11.166600000000001</v>
      </c>
      <c r="F49" s="57">
        <f>16.03*1.11</f>
        <v>17.793300000000002</v>
      </c>
      <c r="G49" s="57">
        <f>208*1.11</f>
        <v>230.88000000000002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230.42934000000002</v>
      </c>
    </row>
    <row r="50" spans="1:16" x14ac:dyDescent="0.2">
      <c r="A50" s="159" t="s">
        <v>38</v>
      </c>
      <c r="B50" s="32" t="s">
        <v>36</v>
      </c>
      <c r="C50" s="37">
        <v>180</v>
      </c>
      <c r="D50" s="57">
        <f>8.77*1.2</f>
        <v>10.523999999999999</v>
      </c>
      <c r="E50" s="57">
        <f>5.19*1.2</f>
        <v>6.2280000000000006</v>
      </c>
      <c r="F50" s="57">
        <f>39.6*1.23</f>
        <v>48.707999999999998</v>
      </c>
      <c r="G50" s="57">
        <v>304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304.82640000000004</v>
      </c>
    </row>
    <row r="51" spans="1:16" x14ac:dyDescent="0.2">
      <c r="A51" s="166" t="s">
        <v>164</v>
      </c>
      <c r="B51" s="73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73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5">
      <c r="A53" s="22"/>
      <c r="B53" s="73"/>
      <c r="C53" s="72">
        <f>SUM(C47:C52)</f>
        <v>850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5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5">
      <c r="A55" s="21" t="s">
        <v>27</v>
      </c>
      <c r="B55" s="215" t="s">
        <v>13</v>
      </c>
      <c r="C55" s="216"/>
      <c r="D55" s="63">
        <f t="shared" ref="D55:O55" si="9">D56+D62</f>
        <v>46.173400000000001</v>
      </c>
      <c r="E55" s="63">
        <f t="shared" si="9"/>
        <v>43.667699999999996</v>
      </c>
      <c r="F55" s="63">
        <f t="shared" si="9"/>
        <v>197.79140000000001</v>
      </c>
      <c r="G55" s="63">
        <f>G56+G62</f>
        <v>1439.8600000000001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1417.66146</v>
      </c>
    </row>
    <row r="56" spans="1:16" x14ac:dyDescent="0.25">
      <c r="A56" s="21"/>
      <c r="B56" s="173" t="s">
        <v>66</v>
      </c>
      <c r="C56" s="172"/>
      <c r="D56" s="63">
        <f>D57+D58+D59+D60</f>
        <v>17.024999999999999</v>
      </c>
      <c r="E56" s="63">
        <f t="shared" ref="E56:O56" si="10">E57+E58+E59+E60</f>
        <v>9.4224999999999994</v>
      </c>
      <c r="F56" s="63">
        <f t="shared" si="10"/>
        <v>111.12</v>
      </c>
      <c r="G56" s="63">
        <f>G57+G58+G59+G60</f>
        <v>623.05000000000007</v>
      </c>
      <c r="H56" s="63">
        <f t="shared" si="10"/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623.01150000000007</v>
      </c>
    </row>
    <row r="57" spans="1:16" x14ac:dyDescent="0.25">
      <c r="A57" s="143" t="s">
        <v>180</v>
      </c>
      <c r="B57" s="50" t="s">
        <v>178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2.8" x14ac:dyDescent="0.2">
      <c r="A58" s="54" t="s">
        <v>162</v>
      </c>
      <c r="B58" s="29" t="s">
        <v>186</v>
      </c>
      <c r="C58" s="16">
        <v>253</v>
      </c>
      <c r="D58" s="57">
        <f>7.26*1.25</f>
        <v>9.0749999999999993</v>
      </c>
      <c r="E58" s="57">
        <f>4.25*1.25</f>
        <v>5.3125</v>
      </c>
      <c r="F58" s="57">
        <f>36.28*1.25</f>
        <v>45.35</v>
      </c>
      <c r="G58" s="57">
        <v>276.39999999999998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276.39750000000004</v>
      </c>
    </row>
    <row r="59" spans="1:16" x14ac:dyDescent="0.25">
      <c r="A59" s="163" t="s">
        <v>164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27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5">
      <c r="A61" s="28"/>
      <c r="B61" s="27"/>
      <c r="C61" s="72">
        <f>SUM(C57:C60)</f>
        <v>553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5">
      <c r="A62" s="28"/>
      <c r="B62" s="176" t="s">
        <v>67</v>
      </c>
      <c r="C62" s="72"/>
      <c r="D62" s="63">
        <f>D63+D64+D65+D66+D67</f>
        <v>29.148399999999999</v>
      </c>
      <c r="E62" s="63">
        <f>E63+E64+E65+E66+E67</f>
        <v>34.245199999999997</v>
      </c>
      <c r="F62" s="63">
        <f>F63+F64+F65+F66+F67</f>
        <v>86.671400000000006</v>
      </c>
      <c r="G62" s="63">
        <f>G63+G64+G65+G66+G67</f>
        <v>816.81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794.64995999999996</v>
      </c>
    </row>
    <row r="63" spans="1:16" ht="15" customHeight="1" x14ac:dyDescent="0.25">
      <c r="A63" s="167" t="s">
        <v>175</v>
      </c>
      <c r="B63" s="75" t="s">
        <v>142</v>
      </c>
      <c r="C63" s="54">
        <v>100</v>
      </c>
      <c r="D63" s="76">
        <f>0.74*1.66</f>
        <v>1.2283999999999999</v>
      </c>
      <c r="E63" s="76">
        <f>0.06*1.67</f>
        <v>0.1002</v>
      </c>
      <c r="F63" s="76">
        <f>6.92*1.67</f>
        <v>11.5564</v>
      </c>
      <c r="G63" s="76">
        <f>33*1.67</f>
        <v>55.11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54.597960000000008</v>
      </c>
    </row>
    <row r="64" spans="1:16" ht="12.75" customHeight="1" x14ac:dyDescent="0.2">
      <c r="A64" s="165" t="s">
        <v>168</v>
      </c>
      <c r="B64" s="29" t="s">
        <v>191</v>
      </c>
      <c r="C64" s="16">
        <v>250</v>
      </c>
      <c r="D64" s="30">
        <f>5.52*1.25</f>
        <v>6.8999999999999995</v>
      </c>
      <c r="E64" s="30">
        <f>14.18*1.25</f>
        <v>17.725000000000001</v>
      </c>
      <c r="F64" s="30">
        <f>10.9*1.25</f>
        <v>13.625</v>
      </c>
      <c r="G64" s="30">
        <v>267.32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245.73000000000002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7.25" customHeight="1" x14ac:dyDescent="0.25">
      <c r="A66" s="168" t="s">
        <v>42</v>
      </c>
      <c r="B66" s="50" t="s">
        <v>202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27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5">
      <c r="A68" s="28"/>
      <c r="B68" s="73"/>
      <c r="C68" s="72">
        <f>SUM(C63:C67)</f>
        <v>830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5">
      <c r="A69" s="21" t="s">
        <v>28</v>
      </c>
      <c r="B69" s="215" t="s">
        <v>13</v>
      </c>
      <c r="C69" s="216"/>
      <c r="D69" s="63">
        <f>D70+D76</f>
        <v>47.968000000000004</v>
      </c>
      <c r="E69" s="63">
        <f t="shared" ref="E69:O69" si="11">E70+E76</f>
        <v>41.669700000000006</v>
      </c>
      <c r="F69" s="63">
        <f t="shared" si="11"/>
        <v>209.28775000000002</v>
      </c>
      <c r="G69" s="63">
        <f>G70+G76</f>
        <v>1459.1034999999999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1455.5014500000002</v>
      </c>
    </row>
    <row r="70" spans="1:16" x14ac:dyDescent="0.25">
      <c r="A70" s="21"/>
      <c r="B70" s="173" t="s">
        <v>66</v>
      </c>
      <c r="C70" s="172"/>
      <c r="D70" s="63">
        <f>D71+D72+D73+D74</f>
        <v>15.64</v>
      </c>
      <c r="E70" s="63">
        <f>E71+E72+E73+E74</f>
        <v>9.620000000000001</v>
      </c>
      <c r="F70" s="63">
        <f>F71+F72+F73+F74</f>
        <v>94.050000000000011</v>
      </c>
      <c r="G70" s="63">
        <f>G71+G72+G73+G74</f>
        <v>547.32500000000005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547.27800000000013</v>
      </c>
    </row>
    <row r="71" spans="1:16" x14ac:dyDescent="0.25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5">
      <c r="A72" s="170" t="s">
        <v>181</v>
      </c>
      <c r="B72" s="79" t="s">
        <v>179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164</v>
      </c>
      <c r="B73" s="27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6" si="13">(D73+F73)*4.2+E73*9</f>
        <v>42</v>
      </c>
    </row>
    <row r="74" spans="1:16" ht="13.5" customHeight="1" x14ac:dyDescent="0.2">
      <c r="A74" s="28"/>
      <c r="B74" s="73" t="s">
        <v>11</v>
      </c>
      <c r="C74" s="16">
        <v>50</v>
      </c>
      <c r="D74" s="57">
        <f>3.04*1.25</f>
        <v>3.8</v>
      </c>
      <c r="E74" s="30">
        <f>0.32*1.25</f>
        <v>0.4</v>
      </c>
      <c r="F74" s="57">
        <f>19.68*1.25</f>
        <v>24.6</v>
      </c>
      <c r="G74" s="57">
        <f>98.34*1.25</f>
        <v>122.92500000000001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122.88000000000001</v>
      </c>
    </row>
    <row r="75" spans="1:16" x14ac:dyDescent="0.25">
      <c r="A75" s="70"/>
      <c r="B75" s="27"/>
      <c r="C75" s="80">
        <f>SUM(C71:C74)</f>
        <v>553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5">
      <c r="A76" s="70"/>
      <c r="B76" s="176" t="s">
        <v>67</v>
      </c>
      <c r="C76" s="80"/>
      <c r="D76" s="63">
        <f>D77+D78+D79+D80+D81+D82</f>
        <v>32.328000000000003</v>
      </c>
      <c r="E76" s="63">
        <f>E77+E78+E79+E80+E81+E82</f>
        <v>32.049700000000001</v>
      </c>
      <c r="F76" s="63">
        <f>F77+F78+F79+F80+F81+F82</f>
        <v>115.23774999999999</v>
      </c>
      <c r="G76" s="63">
        <f>G77+G78+G79+G80+G81+G82</f>
        <v>911.77849999999989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908.22344999999996</v>
      </c>
    </row>
    <row r="77" spans="1:16" ht="18.75" customHeight="1" x14ac:dyDescent="0.25">
      <c r="A77" s="49" t="s">
        <v>172</v>
      </c>
      <c r="B77" s="50" t="s">
        <v>145</v>
      </c>
      <c r="C77" s="51">
        <v>100</v>
      </c>
      <c r="D77" s="57">
        <f>0.8*1.67</f>
        <v>1.3360000000000001</v>
      </c>
      <c r="E77" s="57">
        <f>3.11*1.67</f>
        <v>5.1936999999999998</v>
      </c>
      <c r="F77" s="57">
        <f>5.64*1.67</f>
        <v>9.4187999999999992</v>
      </c>
      <c r="G77" s="57">
        <f>55.8*1.67</f>
        <v>93.185999999999993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91.913460000000001</v>
      </c>
    </row>
    <row r="78" spans="1:16" x14ac:dyDescent="0.2">
      <c r="A78" s="28" t="s">
        <v>166</v>
      </c>
      <c r="B78" s="32" t="s">
        <v>200</v>
      </c>
      <c r="C78" s="16">
        <v>250</v>
      </c>
      <c r="D78" s="30">
        <f>3*1.25</f>
        <v>3.75</v>
      </c>
      <c r="E78" s="30">
        <f>(4.61-0.21)*1.25</f>
        <v>5.5</v>
      </c>
      <c r="F78" s="30">
        <f>(12.54-0.05)*1.255</f>
        <v>15.674949999999997</v>
      </c>
      <c r="G78" s="30">
        <f>106.65*1.25</f>
        <v>133.3125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131.08479</v>
      </c>
    </row>
    <row r="79" spans="1:16" x14ac:dyDescent="0.25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5">
      <c r="A80" s="81" t="s">
        <v>134</v>
      </c>
      <c r="B80" s="50" t="s">
        <v>148</v>
      </c>
      <c r="C80" s="37">
        <v>180</v>
      </c>
      <c r="D80" s="57">
        <f>16.26*1.2</f>
        <v>19.512</v>
      </c>
      <c r="E80" s="82">
        <f>4.03*1.2</f>
        <v>4.8360000000000003</v>
      </c>
      <c r="F80" s="57">
        <f>33.97*1.2</f>
        <v>40.763999999999996</v>
      </c>
      <c r="G80" s="57">
        <f>247.3*1.2</f>
        <v>296.76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296.6832</v>
      </c>
    </row>
    <row r="81" spans="1:32" ht="29.25" customHeight="1" x14ac:dyDescent="0.2">
      <c r="A81" s="28" t="s">
        <v>42</v>
      </c>
      <c r="B81" s="50" t="s">
        <v>203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73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5">
      <c r="A83" s="22"/>
      <c r="B83" s="83"/>
      <c r="C83" s="72">
        <f>SUM(C77:C82)</f>
        <v>860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5">
      <c r="A84" s="84" t="s">
        <v>29</v>
      </c>
      <c r="B84" s="215" t="s">
        <v>13</v>
      </c>
      <c r="C84" s="216"/>
      <c r="D84" s="63">
        <f t="shared" ref="D84:O84" si="15">D85+D91</f>
        <v>41.438000000000002</v>
      </c>
      <c r="E84" s="63">
        <f t="shared" si="15"/>
        <v>48.205000000000005</v>
      </c>
      <c r="F84" s="63">
        <f t="shared" si="15"/>
        <v>191.35026000000002</v>
      </c>
      <c r="G84" s="63">
        <f>G85+G91</f>
        <v>1411.44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1411.5556920000004</v>
      </c>
    </row>
    <row r="85" spans="1:32" x14ac:dyDescent="0.25">
      <c r="A85" s="85"/>
      <c r="B85" s="173" t="s">
        <v>66</v>
      </c>
      <c r="C85" s="86"/>
      <c r="D85" s="87">
        <f>D86+D87+D88+D89</f>
        <v>12.399999999999999</v>
      </c>
      <c r="E85" s="87">
        <f>E86+E87+E88+E89</f>
        <v>10.6</v>
      </c>
      <c r="F85" s="87">
        <f>F86+F87+F88+F89</f>
        <v>94.420000000000016</v>
      </c>
      <c r="G85" s="87">
        <f>G86+G87+G88+G89</f>
        <v>544.08500000000004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544.0440000000001</v>
      </c>
      <c r="Q85" s="89">
        <f>G85-470</f>
        <v>74.085000000000036</v>
      </c>
      <c r="R85" s="2">
        <f>Q85/9</f>
        <v>8.2316666666666709</v>
      </c>
    </row>
    <row r="86" spans="1:32" x14ac:dyDescent="0.25">
      <c r="A86" s="90"/>
      <c r="B86" s="91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162</v>
      </c>
      <c r="B87" s="29" t="s">
        <v>184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164</v>
      </c>
      <c r="B88" s="23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73" t="s">
        <v>11</v>
      </c>
      <c r="C89" s="16">
        <v>50</v>
      </c>
      <c r="D89" s="57">
        <f>3.04*1.25</f>
        <v>3.8</v>
      </c>
      <c r="E89" s="30">
        <f>0.32*1.25</f>
        <v>0.4</v>
      </c>
      <c r="F89" s="57">
        <f>19.68*1.25</f>
        <v>24.6</v>
      </c>
      <c r="G89" s="57">
        <f>98.34*1.25</f>
        <v>122.92500000000001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122.88000000000001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5">
      <c r="A90" s="38"/>
      <c r="B90" s="39"/>
      <c r="C90" s="45">
        <f>SUM(C86:C89)</f>
        <v>553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5">
      <c r="A91" s="38"/>
      <c r="B91" s="176" t="s">
        <v>67</v>
      </c>
      <c r="C91" s="45"/>
      <c r="D91" s="48">
        <f>D92+D93+D94+D95+D96</f>
        <v>29.038</v>
      </c>
      <c r="E91" s="48">
        <f>E92+E93+E94+E95+E96</f>
        <v>37.605000000000004</v>
      </c>
      <c r="F91" s="48">
        <f>F92+F93+F94+F95+F96</f>
        <v>96.930260000000004</v>
      </c>
      <c r="G91" s="48">
        <f>G92+G93+G94+G95+G96</f>
        <v>867.35500000000002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867.51169200000004</v>
      </c>
      <c r="Q91" s="89">
        <f>P91-705</f>
        <v>162.51169200000004</v>
      </c>
      <c r="R91" s="2">
        <f>Q91/9</f>
        <v>18.05685466666667</v>
      </c>
    </row>
    <row r="92" spans="1:32" ht="16.5" customHeight="1" x14ac:dyDescent="0.2">
      <c r="A92" s="10" t="s">
        <v>139</v>
      </c>
      <c r="B92" s="69" t="s">
        <v>140</v>
      </c>
      <c r="C92" s="37">
        <v>100</v>
      </c>
      <c r="D92" s="53">
        <f>0.9*1.67</f>
        <v>1.5029999999999999</v>
      </c>
      <c r="E92" s="53">
        <v>0.06</v>
      </c>
      <c r="F92" s="53">
        <f>8.28*1.667</f>
        <v>13.802759999999999</v>
      </c>
      <c r="G92" s="53">
        <v>64.28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64.824192000000011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160</v>
      </c>
      <c r="C93" s="16">
        <v>250</v>
      </c>
      <c r="D93" s="30">
        <f>3.1*1.25</f>
        <v>3.875</v>
      </c>
      <c r="E93" s="30">
        <f>4.02*1.25</f>
        <v>5.0249999999999995</v>
      </c>
      <c r="F93" s="30">
        <f>16.92*1.25</f>
        <v>21.150000000000002</v>
      </c>
      <c r="G93" s="30">
        <f>120.26*1.25</f>
        <v>150.32500000000002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150.33000000000001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5">
      <c r="A94" s="70">
        <v>218</v>
      </c>
      <c r="B94" s="27" t="s">
        <v>149</v>
      </c>
      <c r="C94" s="37">
        <v>250</v>
      </c>
      <c r="D94" s="57">
        <f>16.48*1.25</f>
        <v>20.6</v>
      </c>
      <c r="E94" s="57">
        <f>25.76*1.25</f>
        <v>32.200000000000003</v>
      </c>
      <c r="F94" s="57">
        <f>10.39*1.25</f>
        <v>12.987500000000001</v>
      </c>
      <c r="G94" s="57">
        <f>345*1.25</f>
        <v>431.25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430.86750000000006</v>
      </c>
    </row>
    <row r="95" spans="1:32" ht="22.8" x14ac:dyDescent="0.25">
      <c r="A95" s="158" t="s">
        <v>40</v>
      </c>
      <c r="B95" s="50" t="s">
        <v>204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5">
      <c r="A96" s="28"/>
      <c r="B96" s="39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5">
      <c r="A97" s="28"/>
      <c r="B97" s="27"/>
      <c r="C97" s="72">
        <f>SUM(C92:C96)</f>
        <v>840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5">
      <c r="A98" s="215" t="s">
        <v>64</v>
      </c>
      <c r="B98" s="220"/>
      <c r="C98" s="216"/>
      <c r="D98" s="63">
        <f t="shared" ref="D98:O98" si="16">D99+D105</f>
        <v>41.026299999999992</v>
      </c>
      <c r="E98" s="63">
        <f t="shared" si="16"/>
        <v>49.897899999999993</v>
      </c>
      <c r="F98" s="63">
        <f t="shared" si="16"/>
        <v>229.96559999999999</v>
      </c>
      <c r="G98" s="63">
        <f>G99+G105</f>
        <v>1613.076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1587.2470799999999</v>
      </c>
    </row>
    <row r="99" spans="1:36" x14ac:dyDescent="0.25">
      <c r="A99" s="109"/>
      <c r="B99" s="173" t="s">
        <v>66</v>
      </c>
      <c r="C99" s="171"/>
      <c r="D99" s="63">
        <f>D100+D101+D102+D103</f>
        <v>19.169699999999999</v>
      </c>
      <c r="E99" s="63">
        <f>E100+E101+E102+E103</f>
        <v>11.3893</v>
      </c>
      <c r="F99" s="63">
        <f>F100+F101+F102+F103</f>
        <v>141.0103</v>
      </c>
      <c r="G99" s="63">
        <f>G100+G101+G102+G103</f>
        <v>776.03099999999995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775.25970000000007</v>
      </c>
    </row>
    <row r="100" spans="1:36" ht="26.25" customHeight="1" x14ac:dyDescent="0.2">
      <c r="A100" s="54" t="s">
        <v>162</v>
      </c>
      <c r="B100" s="29" t="s">
        <v>188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5">
      <c r="A101" s="143" t="s">
        <v>180</v>
      </c>
      <c r="B101" s="50" t="s">
        <v>178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5">
      <c r="A102" s="81">
        <v>323</v>
      </c>
      <c r="B102" s="27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73" t="s">
        <v>11</v>
      </c>
      <c r="C103" s="16">
        <v>50</v>
      </c>
      <c r="D103" s="57">
        <f>3.04*1.25</f>
        <v>3.8</v>
      </c>
      <c r="E103" s="30">
        <f>0.32*1.25</f>
        <v>0.4</v>
      </c>
      <c r="F103" s="57">
        <f>19.68*1.25</f>
        <v>24.6</v>
      </c>
      <c r="G103" s="57">
        <f>98.34*1.25</f>
        <v>122.92500000000001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122.88000000000001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8.75" customHeight="1" x14ac:dyDescent="0.25">
      <c r="A104" s="28"/>
      <c r="B104" s="23"/>
      <c r="C104" s="45">
        <f>SUM(C100:C103)</f>
        <v>553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5">
      <c r="A105" s="61"/>
      <c r="B105" s="176" t="s">
        <v>67</v>
      </c>
      <c r="C105" s="47"/>
      <c r="D105" s="48">
        <f>D106+D107+D108+D109+D110+D111</f>
        <v>21.856599999999997</v>
      </c>
      <c r="E105" s="48">
        <f>E106+E107+E108+E109+E110+E111</f>
        <v>38.508599999999994</v>
      </c>
      <c r="F105" s="48">
        <f>F106+F107+F108+F109+F110+F111</f>
        <v>88.955299999999994</v>
      </c>
      <c r="G105" s="48">
        <f>G106+G107+G108+G109+G110+G111</f>
        <v>837.04499999999996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>(D105+F105)*4.2+E105*9</f>
        <v>811.98738000000003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5">
      <c r="A106" s="49" t="s">
        <v>174</v>
      </c>
      <c r="B106" s="50" t="s">
        <v>136</v>
      </c>
      <c r="C106" s="51">
        <v>100</v>
      </c>
      <c r="D106" s="57">
        <f>0.94*1.66</f>
        <v>1.5603999999999998</v>
      </c>
      <c r="E106" s="57">
        <f>4.06*1.66</f>
        <v>6.7395999999999994</v>
      </c>
      <c r="F106" s="57">
        <f>5.96*1.66</f>
        <v>9.8935999999999993</v>
      </c>
      <c r="G106" s="57">
        <v>108.76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108.76319999999998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1.25" customHeight="1" x14ac:dyDescent="0.2">
      <c r="A107" s="166" t="s">
        <v>169</v>
      </c>
      <c r="B107" s="79" t="s">
        <v>192</v>
      </c>
      <c r="C107" s="37">
        <v>250</v>
      </c>
      <c r="D107" s="57">
        <f>4.56*1.25</f>
        <v>5.6999999999999993</v>
      </c>
      <c r="E107" s="57">
        <f>6.9*1.25</f>
        <v>8.625</v>
      </c>
      <c r="F107" s="57">
        <f>12.22*1.25</f>
        <v>15.275</v>
      </c>
      <c r="G107" s="57">
        <f>132.58*1.25</f>
        <v>165.72500000000002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165.72000000000003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5">
      <c r="A108" s="166">
        <v>203</v>
      </c>
      <c r="B108" s="79" t="s">
        <v>182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27" t="s">
        <v>32</v>
      </c>
      <c r="C109" s="37">
        <v>200</v>
      </c>
      <c r="D109" s="57">
        <v>3.26</v>
      </c>
      <c r="E109" s="57">
        <f>7.8*1.33</f>
        <v>10.374000000000001</v>
      </c>
      <c r="F109" s="57">
        <f>21.99*1.33</f>
        <v>29.246700000000001</v>
      </c>
      <c r="G109" s="57">
        <v>234.48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>(D109+F109)*4.2+E109*9</f>
        <v>229.89413999999999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3.5" customHeight="1" x14ac:dyDescent="0.25">
      <c r="A110" s="165" t="s">
        <v>176</v>
      </c>
      <c r="B110" s="32" t="s">
        <v>90</v>
      </c>
      <c r="C110" s="16">
        <v>200</v>
      </c>
      <c r="D110" s="151">
        <f>0.14*1.33</f>
        <v>0.18620000000000003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v>89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73" t="s">
        <v>11</v>
      </c>
      <c r="C111" s="16">
        <v>20</v>
      </c>
      <c r="D111" s="57">
        <v>1.52</v>
      </c>
      <c r="E111" s="30">
        <v>0.16</v>
      </c>
      <c r="F111" s="57">
        <v>9.84</v>
      </c>
      <c r="G111" s="57">
        <v>49.17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49.151999999999994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5">
      <c r="A112" s="115"/>
      <c r="B112" s="116"/>
      <c r="C112" s="140">
        <f>SUM(C106:C111)</f>
        <v>870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5">
      <c r="A113" s="84" t="s">
        <v>30</v>
      </c>
      <c r="B113" s="180" t="s">
        <v>13</v>
      </c>
      <c r="C113" s="181"/>
      <c r="D113" s="63">
        <f t="shared" ref="D113:O113" si="17">D114+D120</f>
        <v>46.295540000000003</v>
      </c>
      <c r="E113" s="63">
        <f t="shared" si="17"/>
        <v>60.881160000000001</v>
      </c>
      <c r="F113" s="63">
        <f t="shared" si="17"/>
        <v>209.82178000000002</v>
      </c>
      <c r="G113" s="63">
        <f>G114+G120</f>
        <v>1626.306</v>
      </c>
      <c r="H113" s="63" t="e">
        <f t="shared" si="17"/>
        <v>#REF!</v>
      </c>
      <c r="I113" s="63" t="e">
        <f t="shared" si="17"/>
        <v>#REF!</v>
      </c>
      <c r="J113" s="63" t="e">
        <f t="shared" si="17"/>
        <v>#REF!</v>
      </c>
      <c r="K113" s="63" t="e">
        <f t="shared" si="17"/>
        <v>#REF!</v>
      </c>
      <c r="L113" s="63" t="e">
        <f t="shared" si="17"/>
        <v>#REF!</v>
      </c>
      <c r="M113" s="63" t="e">
        <f t="shared" si="17"/>
        <v>#REF!</v>
      </c>
      <c r="N113" s="63" t="e">
        <f t="shared" si="17"/>
        <v>#REF!</v>
      </c>
      <c r="O113" s="64" t="e">
        <f t="shared" si="17"/>
        <v>#REF!</v>
      </c>
      <c r="P113" s="2">
        <f t="shared" si="13"/>
        <v>1623.623184</v>
      </c>
    </row>
    <row r="114" spans="1:16" x14ac:dyDescent="0.25">
      <c r="A114" s="84"/>
      <c r="B114" s="171" t="s">
        <v>66</v>
      </c>
      <c r="C114" s="171"/>
      <c r="D114" s="63">
        <f>D115+D116+D117+D118</f>
        <v>17.302499999999998</v>
      </c>
      <c r="E114" s="63">
        <f>E115+E116+E117+E118</f>
        <v>13.0875</v>
      </c>
      <c r="F114" s="63">
        <f>F115+F116+F117+F118</f>
        <v>116.45750000000001</v>
      </c>
      <c r="G114" s="63">
        <f>G115+G116+G117+G118</f>
        <v>681.25000000000011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679.57950000000017</v>
      </c>
    </row>
    <row r="115" spans="1:16" ht="22.8" x14ac:dyDescent="0.2">
      <c r="A115" s="54" t="s">
        <v>162</v>
      </c>
      <c r="B115" s="29" t="s">
        <v>185</v>
      </c>
      <c r="C115" s="16">
        <v>253</v>
      </c>
      <c r="D115" s="57">
        <f>7.81*1.25</f>
        <v>9.7624999999999993</v>
      </c>
      <c r="E115" s="57">
        <f>4.55*1.25</f>
        <v>5.6875</v>
      </c>
      <c r="F115" s="57">
        <f>33.47*1.25</f>
        <v>41.837499999999999</v>
      </c>
      <c r="G115" s="57">
        <v>267.91000000000003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267.90750000000003</v>
      </c>
    </row>
    <row r="116" spans="1:16" x14ac:dyDescent="0.25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164</v>
      </c>
      <c r="B117" s="27" t="s">
        <v>10</v>
      </c>
      <c r="C117" s="141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5">
      <c r="A118" s="38"/>
      <c r="B118" s="39" t="s">
        <v>11</v>
      </c>
      <c r="C118" s="144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5">
      <c r="A119" s="35"/>
      <c r="B119" s="27"/>
      <c r="C119" s="145">
        <f>SUM(C115:C118)</f>
        <v>553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5">
      <c r="A120" s="35"/>
      <c r="B120" s="176" t="s">
        <v>67</v>
      </c>
      <c r="C120" s="117"/>
      <c r="D120" s="63">
        <f>D121+D122+D123+D124+D125+D126</f>
        <v>28.993040000000001</v>
      </c>
      <c r="E120" s="63">
        <f t="shared" ref="E120:O120" si="18">E121+E122+E123+E124+E125+E126</f>
        <v>47.793660000000003</v>
      </c>
      <c r="F120" s="63">
        <f t="shared" si="18"/>
        <v>93.364280000000008</v>
      </c>
      <c r="G120" s="63">
        <f>G121+G122+G123+G124+G125+G126</f>
        <v>945.05600000000004</v>
      </c>
      <c r="H120" s="63">
        <f t="shared" si="18"/>
        <v>0.69000000000000006</v>
      </c>
      <c r="I120" s="63">
        <f t="shared" si="18"/>
        <v>21.71</v>
      </c>
      <c r="J120" s="63">
        <f t="shared" si="18"/>
        <v>0.9</v>
      </c>
      <c r="K120" s="63">
        <f t="shared" si="18"/>
        <v>151.85</v>
      </c>
      <c r="L120" s="63">
        <f t="shared" si="18"/>
        <v>371.56</v>
      </c>
      <c r="M120" s="63">
        <f t="shared" si="18"/>
        <v>129.63</v>
      </c>
      <c r="N120" s="63">
        <f t="shared" si="18"/>
        <v>8.81</v>
      </c>
      <c r="O120" s="64">
        <f t="shared" si="18"/>
        <v>68.8</v>
      </c>
      <c r="P120" s="2">
        <f t="shared" si="13"/>
        <v>944.04368399999998</v>
      </c>
    </row>
    <row r="121" spans="1:16" x14ac:dyDescent="0.2">
      <c r="A121" s="28" t="s">
        <v>68</v>
      </c>
      <c r="B121" s="65" t="s">
        <v>69</v>
      </c>
      <c r="C121" s="54">
        <v>100</v>
      </c>
      <c r="D121" s="97">
        <f>0.84*1.666</f>
        <v>1.3994399999999998</v>
      </c>
      <c r="E121" s="30">
        <f>3.06*1.666</f>
        <v>5.0979599999999996</v>
      </c>
      <c r="F121" s="30">
        <f>6.83*1.666</f>
        <v>11.378779999999999</v>
      </c>
      <c r="G121" s="30">
        <f>59.75*1.666</f>
        <v>99.543499999999995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99.550163999999995</v>
      </c>
    </row>
    <row r="122" spans="1:16" x14ac:dyDescent="0.2">
      <c r="A122" s="28" t="s">
        <v>130</v>
      </c>
      <c r="B122" s="29" t="s">
        <v>201</v>
      </c>
      <c r="C122" s="16">
        <v>250</v>
      </c>
      <c r="D122" s="30">
        <f>6.5*1.25</f>
        <v>8.125</v>
      </c>
      <c r="E122" s="30">
        <f>21.68*1.25</f>
        <v>27.1</v>
      </c>
      <c r="F122" s="30">
        <f>11.56*1.25</f>
        <v>14.450000000000001</v>
      </c>
      <c r="G122" s="30">
        <f>270.97*1.25</f>
        <v>338.71250000000003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338.71500000000003</v>
      </c>
    </row>
    <row r="123" spans="1:16" x14ac:dyDescent="0.2">
      <c r="A123" s="70" t="s">
        <v>131</v>
      </c>
      <c r="B123" s="27" t="s">
        <v>141</v>
      </c>
      <c r="C123" s="37">
        <v>100</v>
      </c>
      <c r="D123" s="57">
        <f>11.84*1.11</f>
        <v>13.1424</v>
      </c>
      <c r="E123" s="57">
        <f>10.06*1.11</f>
        <v>11.166600000000001</v>
      </c>
      <c r="F123" s="57">
        <f>16.03*1.11</f>
        <v>17.793300000000002</v>
      </c>
      <c r="G123" s="57">
        <f>208*1.11</f>
        <v>230.88000000000002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230.42934000000002</v>
      </c>
    </row>
    <row r="124" spans="1:16" x14ac:dyDescent="0.2">
      <c r="A124" s="28" t="s">
        <v>153</v>
      </c>
      <c r="B124" s="27" t="s">
        <v>154</v>
      </c>
      <c r="C124" s="67">
        <v>200</v>
      </c>
      <c r="D124" s="57">
        <f>3.14*1.33</f>
        <v>4.1762000000000006</v>
      </c>
      <c r="E124" s="30">
        <f>3.27*1.33</f>
        <v>4.3491</v>
      </c>
      <c r="F124" s="57">
        <f>22.34*1.33</f>
        <v>29.712200000000003</v>
      </c>
      <c r="G124" s="57">
        <v>182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181.47318000000001</v>
      </c>
    </row>
    <row r="125" spans="1:16" x14ac:dyDescent="0.25">
      <c r="A125" s="168" t="s">
        <v>42</v>
      </c>
      <c r="B125" s="50" t="s">
        <v>202</v>
      </c>
      <c r="C125" s="37">
        <v>200</v>
      </c>
      <c r="D125" s="57">
        <f>1.15</f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73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5">
      <c r="A127" s="28"/>
      <c r="B127" s="27"/>
      <c r="C127" s="72">
        <f>SUM(C121:C126)</f>
        <v>870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5">
      <c r="A128" s="84" t="s">
        <v>31</v>
      </c>
      <c r="B128" s="215" t="s">
        <v>13</v>
      </c>
      <c r="C128" s="216"/>
      <c r="D128" s="63">
        <f>D129+D136</f>
        <v>59.393299999999996</v>
      </c>
      <c r="E128" s="63">
        <f t="shared" ref="E128:O128" si="19">E129+E136</f>
        <v>44.860299999999995</v>
      </c>
      <c r="F128" s="63">
        <f t="shared" si="19"/>
        <v>211.2491</v>
      </c>
      <c r="G128" s="63">
        <f>G129+G136</f>
        <v>1540.252</v>
      </c>
      <c r="H128" s="63">
        <f t="shared" si="19"/>
        <v>0.70899999999999996</v>
      </c>
      <c r="I128" s="63">
        <f t="shared" si="19"/>
        <v>50.81</v>
      </c>
      <c r="J128" s="63">
        <f t="shared" si="19"/>
        <v>56.41</v>
      </c>
      <c r="K128" s="63">
        <f t="shared" si="19"/>
        <v>155.64999999999998</v>
      </c>
      <c r="L128" s="63">
        <f t="shared" si="19"/>
        <v>538.96</v>
      </c>
      <c r="M128" s="63">
        <f t="shared" si="19"/>
        <v>102.84</v>
      </c>
      <c r="N128" s="63">
        <f t="shared" si="19"/>
        <v>11.25</v>
      </c>
      <c r="O128" s="64">
        <f t="shared" si="19"/>
        <v>163.9</v>
      </c>
      <c r="P128" s="2">
        <f t="shared" si="13"/>
        <v>1540.4407800000001</v>
      </c>
    </row>
    <row r="129" spans="1:37" x14ac:dyDescent="0.25">
      <c r="A129" s="119"/>
      <c r="B129" s="173" t="s">
        <v>66</v>
      </c>
      <c r="C129" s="172"/>
      <c r="D129" s="63">
        <f>D130+D131+D132+D133+D134</f>
        <v>35.653599999999997</v>
      </c>
      <c r="E129" s="63">
        <f t="shared" ref="E129:O129" si="20">E130+E131+E132+E133+E134</f>
        <v>14.3833</v>
      </c>
      <c r="F129" s="63">
        <f>F130+F131+F132+F133+F134</f>
        <v>83.43</v>
      </c>
      <c r="G129" s="63">
        <f>G130+G131+G132+G133+G134</f>
        <v>629.6869999999999</v>
      </c>
      <c r="H129" s="63">
        <f t="shared" si="20"/>
        <v>0.43</v>
      </c>
      <c r="I129" s="63">
        <f t="shared" si="20"/>
        <v>29.64</v>
      </c>
      <c r="J129" s="63">
        <f t="shared" si="20"/>
        <v>31.21</v>
      </c>
      <c r="K129" s="63">
        <f t="shared" si="20"/>
        <v>66.05</v>
      </c>
      <c r="L129" s="63">
        <f t="shared" si="20"/>
        <v>341.06000000000006</v>
      </c>
      <c r="M129" s="63">
        <f t="shared" si="20"/>
        <v>38.28</v>
      </c>
      <c r="N129" s="63">
        <f t="shared" si="20"/>
        <v>6.6000000000000005</v>
      </c>
      <c r="O129" s="64">
        <f t="shared" si="20"/>
        <v>71.7</v>
      </c>
      <c r="P129" s="2">
        <f t="shared" si="13"/>
        <v>629.60082000000011</v>
      </c>
    </row>
    <row r="130" spans="1:37" ht="16.5" customHeight="1" x14ac:dyDescent="0.25">
      <c r="A130" s="49"/>
      <c r="B130" s="50" t="s">
        <v>155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156</v>
      </c>
      <c r="C131" s="121">
        <v>160</v>
      </c>
      <c r="D131" s="152">
        <f>18.92*1.33+0.06</f>
        <v>25.223600000000001</v>
      </c>
      <c r="E131" s="152">
        <f>7.01*1.33+0.06</f>
        <v>9.3833000000000002</v>
      </c>
      <c r="F131" s="152">
        <f>15*1.33+16.77</f>
        <v>36.72</v>
      </c>
      <c r="G131" s="152">
        <v>344.61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344.61282000000006</v>
      </c>
    </row>
    <row r="132" spans="1:37" x14ac:dyDescent="0.25">
      <c r="A132" s="90"/>
      <c r="B132" s="91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ht="16.5" customHeight="1" x14ac:dyDescent="0.25">
      <c r="A133" s="56" t="s">
        <v>42</v>
      </c>
      <c r="B133" s="50" t="s">
        <v>202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73" t="s">
        <v>11</v>
      </c>
      <c r="C134" s="16">
        <v>50</v>
      </c>
      <c r="D134" s="57">
        <f>3.04*1.25</f>
        <v>3.8</v>
      </c>
      <c r="E134" s="30">
        <f>0.32*1.25</f>
        <v>0.4</v>
      </c>
      <c r="F134" s="57">
        <f>19.68*1.25</f>
        <v>24.6</v>
      </c>
      <c r="G134" s="57">
        <f>98.34*1.25</f>
        <v>122.92500000000001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122.88000000000001</v>
      </c>
    </row>
    <row r="135" spans="1:37" x14ac:dyDescent="0.25">
      <c r="A135" s="28"/>
      <c r="B135" s="122"/>
      <c r="C135" s="72">
        <f>SUM(C130:C134)</f>
        <v>550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5">
      <c r="A136" s="28"/>
      <c r="B136" s="176" t="s">
        <v>67</v>
      </c>
      <c r="C136" s="72"/>
      <c r="D136" s="63">
        <f>D137+D138+D139+D140+D141+D142</f>
        <v>23.739699999999999</v>
      </c>
      <c r="E136" s="63">
        <f t="shared" ref="E136:O136" si="21">E137+E138+E139+E140+E141+E142</f>
        <v>30.476999999999997</v>
      </c>
      <c r="F136" s="63">
        <f t="shared" si="21"/>
        <v>127.81910000000001</v>
      </c>
      <c r="G136" s="63">
        <f>G137+G138+G139+G140+G141+G142</f>
        <v>910.56499999999994</v>
      </c>
      <c r="H136" s="63">
        <f t="shared" si="21"/>
        <v>0.27899999999999997</v>
      </c>
      <c r="I136" s="63">
        <f t="shared" si="21"/>
        <v>21.17</v>
      </c>
      <c r="J136" s="63">
        <f t="shared" si="21"/>
        <v>25.2</v>
      </c>
      <c r="K136" s="63">
        <f t="shared" si="21"/>
        <v>89.6</v>
      </c>
      <c r="L136" s="63">
        <f t="shared" si="21"/>
        <v>197.9</v>
      </c>
      <c r="M136" s="63">
        <f t="shared" si="21"/>
        <v>64.56</v>
      </c>
      <c r="N136" s="63">
        <f t="shared" si="21"/>
        <v>4.6500000000000004</v>
      </c>
      <c r="O136" s="64">
        <f t="shared" si="21"/>
        <v>92.2</v>
      </c>
      <c r="P136" s="2">
        <f t="shared" si="13"/>
        <v>910.83996000000002</v>
      </c>
    </row>
    <row r="137" spans="1:37" x14ac:dyDescent="0.2">
      <c r="A137" s="28" t="s">
        <v>82</v>
      </c>
      <c r="B137" s="65" t="s">
        <v>83</v>
      </c>
      <c r="C137" s="54">
        <v>100</v>
      </c>
      <c r="D137" s="97">
        <f>1.21*1.67</f>
        <v>2.0206999999999997</v>
      </c>
      <c r="E137" s="30">
        <f>6.2*1.67</f>
        <v>10.353999999999999</v>
      </c>
      <c r="F137" s="30">
        <f>12.33*1.67</f>
        <v>20.591100000000001</v>
      </c>
      <c r="G137" s="30">
        <f>113*1.67</f>
        <v>188.70999999999998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ref="P137:P143" si="22">(D137+F137)*4.2+E137*9</f>
        <v>188.15556000000001</v>
      </c>
    </row>
    <row r="138" spans="1:37" ht="22.8" x14ac:dyDescent="0.2">
      <c r="A138" s="28" t="s">
        <v>124</v>
      </c>
      <c r="B138" s="29" t="s">
        <v>160</v>
      </c>
      <c r="C138" s="16">
        <v>250</v>
      </c>
      <c r="D138" s="30">
        <f>3.1*1.25</f>
        <v>3.875</v>
      </c>
      <c r="E138" s="30">
        <f>4.02*1.25</f>
        <v>5.0249999999999995</v>
      </c>
      <c r="F138" s="30">
        <f>16.92*1.25</f>
        <v>21.150000000000002</v>
      </c>
      <c r="G138" s="30">
        <f>120.26*1.25</f>
        <v>150.32500000000002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2"/>
        <v>150.33000000000001</v>
      </c>
    </row>
    <row r="139" spans="1:37" x14ac:dyDescent="0.25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2"/>
        <v>187.00799999999998</v>
      </c>
    </row>
    <row r="140" spans="1:37" x14ac:dyDescent="0.2">
      <c r="A140" s="159" t="s">
        <v>38</v>
      </c>
      <c r="B140" s="32" t="s">
        <v>36</v>
      </c>
      <c r="C140" s="37">
        <v>180</v>
      </c>
      <c r="D140" s="57">
        <f>8.77*1.2</f>
        <v>10.523999999999999</v>
      </c>
      <c r="E140" s="57">
        <f>5.19*1.2</f>
        <v>6.2280000000000006</v>
      </c>
      <c r="F140" s="57">
        <f>39.6*1.23</f>
        <v>48.707999999999998</v>
      </c>
      <c r="G140" s="57">
        <v>304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2"/>
        <v>304.82640000000004</v>
      </c>
    </row>
    <row r="141" spans="1:37" x14ac:dyDescent="0.25">
      <c r="A141" s="33" t="s">
        <v>164</v>
      </c>
      <c r="B141" s="23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2"/>
        <v>42</v>
      </c>
    </row>
    <row r="142" spans="1:37" ht="12" customHeight="1" x14ac:dyDescent="0.2">
      <c r="A142" s="35"/>
      <c r="B142" s="73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2"/>
        <v>38.520000000000003</v>
      </c>
    </row>
    <row r="143" spans="1:37" x14ac:dyDescent="0.25">
      <c r="A143" s="123"/>
      <c r="B143" s="27"/>
      <c r="C143" s="74">
        <f>SUM(C137:C142)</f>
        <v>865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2"/>
        <v>0</v>
      </c>
    </row>
    <row r="144" spans="1:37" x14ac:dyDescent="0.25">
      <c r="A144" s="119" t="s">
        <v>63</v>
      </c>
      <c r="B144" s="220" t="s">
        <v>13</v>
      </c>
      <c r="C144" s="216"/>
      <c r="D144" s="63">
        <f>D145+D152</f>
        <v>49.481899999999996</v>
      </c>
      <c r="E144" s="63">
        <f t="shared" ref="E144:O144" si="23">E145+E152</f>
        <v>51.692700000000002</v>
      </c>
      <c r="F144" s="63">
        <f t="shared" si="23"/>
        <v>188.20190000000002</v>
      </c>
      <c r="G144" s="63">
        <f>G145+G152</f>
        <v>1465.4585000000002</v>
      </c>
      <c r="H144" s="63">
        <f t="shared" si="23"/>
        <v>0.60000000000000009</v>
      </c>
      <c r="I144" s="63">
        <f t="shared" si="23"/>
        <v>71.45</v>
      </c>
      <c r="J144" s="63">
        <f t="shared" si="23"/>
        <v>0.34</v>
      </c>
      <c r="K144" s="63">
        <f t="shared" si="23"/>
        <v>281.49</v>
      </c>
      <c r="L144" s="63">
        <f t="shared" si="23"/>
        <v>332.28</v>
      </c>
      <c r="M144" s="63">
        <f t="shared" si="23"/>
        <v>76.59</v>
      </c>
      <c r="N144" s="63">
        <f t="shared" si="23"/>
        <v>10.55</v>
      </c>
      <c r="O144" s="64">
        <f t="shared" si="23"/>
        <v>160.69999999999999</v>
      </c>
      <c r="P144" s="214"/>
      <c r="Q144" s="214"/>
      <c r="R144" s="21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5">
      <c r="A145" s="84"/>
      <c r="B145" s="173" t="s">
        <v>66</v>
      </c>
      <c r="C145" s="171"/>
      <c r="D145" s="63">
        <f>D146+D147+D148+D149+D150</f>
        <v>26.381999999999998</v>
      </c>
      <c r="E145" s="63">
        <f>E146+E147+E148+E149+E150</f>
        <v>13.664000000000001</v>
      </c>
      <c r="F145" s="63">
        <f>F146+F147+F148+F149+F150</f>
        <v>87.740000000000009</v>
      </c>
      <c r="G145" s="63">
        <f>G146+G147+G148+G149+G150</f>
        <v>603.101</v>
      </c>
      <c r="H145" s="63">
        <f t="shared" ref="H145:O145" si="24">H146+H147+H148+H150</f>
        <v>0.2</v>
      </c>
      <c r="I145" s="63">
        <f t="shared" si="24"/>
        <v>17.75</v>
      </c>
      <c r="J145" s="63">
        <f t="shared" si="24"/>
        <v>0.34</v>
      </c>
      <c r="K145" s="63">
        <f t="shared" si="24"/>
        <v>158.6</v>
      </c>
      <c r="L145" s="63">
        <f t="shared" si="24"/>
        <v>188.4</v>
      </c>
      <c r="M145" s="63">
        <f t="shared" si="24"/>
        <v>24.8</v>
      </c>
      <c r="N145" s="63">
        <f t="shared" si="24"/>
        <v>5.07</v>
      </c>
      <c r="O145" s="64">
        <f t="shared" si="24"/>
        <v>77.5</v>
      </c>
      <c r="P145" s="174">
        <f>(D145+F145)*4.2+E145*9</f>
        <v>602.28840000000014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5">
      <c r="A146" s="22">
        <v>110</v>
      </c>
      <c r="B146" s="27" t="s">
        <v>157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60" si="25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7" t="s">
        <v>171</v>
      </c>
      <c r="B147" s="32" t="s">
        <v>150</v>
      </c>
      <c r="C147" s="37">
        <v>180</v>
      </c>
      <c r="D147" s="57">
        <f>3.81*1.2</f>
        <v>4.5720000000000001</v>
      </c>
      <c r="E147" s="57">
        <f>2.72*1.2</f>
        <v>3.2640000000000002</v>
      </c>
      <c r="F147" s="57">
        <f>40*1.2</f>
        <v>48</v>
      </c>
      <c r="G147" s="57">
        <f>208.48*1.2</f>
        <v>250.17599999999999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5"/>
        <v>250.17840000000004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173</v>
      </c>
      <c r="B148" s="27" t="s">
        <v>158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5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164</v>
      </c>
      <c r="B149" s="27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5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73" t="s">
        <v>11</v>
      </c>
      <c r="C150" s="16">
        <v>50</v>
      </c>
      <c r="D150" s="57">
        <f>3.04*1.25</f>
        <v>3.8</v>
      </c>
      <c r="E150" s="30">
        <f>0.32*1.25</f>
        <v>0.4</v>
      </c>
      <c r="F150" s="57">
        <f>19.68*1.25</f>
        <v>24.6</v>
      </c>
      <c r="G150" s="57">
        <f>98.34*1.25</f>
        <v>122.92500000000001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5"/>
        <v>122.88000000000001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5">
      <c r="A151" s="28"/>
      <c r="B151" s="27"/>
      <c r="C151" s="140">
        <f>SUM(C146:C150)</f>
        <v>550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5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5">
      <c r="A152" s="28"/>
      <c r="B152" s="176" t="s">
        <v>67</v>
      </c>
      <c r="C152" s="72"/>
      <c r="D152" s="63">
        <f>D153+D154+D155+D156+D157+D158</f>
        <v>23.099899999999998</v>
      </c>
      <c r="E152" s="63">
        <f t="shared" ref="E152:O152" si="26">E153+E154+E155+E156+E157+E158</f>
        <v>38.028700000000001</v>
      </c>
      <c r="F152" s="63">
        <f t="shared" si="26"/>
        <v>100.46190000000001</v>
      </c>
      <c r="G152" s="63">
        <f>G153+G154+G155+G156+G157+G158</f>
        <v>862.35750000000007</v>
      </c>
      <c r="H152" s="63">
        <f t="shared" si="26"/>
        <v>0.4</v>
      </c>
      <c r="I152" s="63">
        <f t="shared" si="26"/>
        <v>53.7</v>
      </c>
      <c r="J152" s="63">
        <f t="shared" si="26"/>
        <v>0</v>
      </c>
      <c r="K152" s="63">
        <f t="shared" si="26"/>
        <v>122.88999999999999</v>
      </c>
      <c r="L152" s="63">
        <f t="shared" si="26"/>
        <v>143.88</v>
      </c>
      <c r="M152" s="63">
        <f t="shared" si="26"/>
        <v>51.79</v>
      </c>
      <c r="N152" s="63">
        <f t="shared" si="26"/>
        <v>5.4800000000000013</v>
      </c>
      <c r="O152" s="64">
        <f t="shared" si="26"/>
        <v>83.2</v>
      </c>
      <c r="P152" s="174">
        <f t="shared" si="25"/>
        <v>861.21785999999997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5">
      <c r="A153" s="167" t="s">
        <v>175</v>
      </c>
      <c r="B153" s="75" t="s">
        <v>142</v>
      </c>
      <c r="C153" s="54">
        <v>100</v>
      </c>
      <c r="D153" s="76">
        <f>0.74*1.66</f>
        <v>1.2283999999999999</v>
      </c>
      <c r="E153" s="76">
        <f>0.06*1.67</f>
        <v>0.1002</v>
      </c>
      <c r="F153" s="76">
        <f>6.92*1.67</f>
        <v>11.5564</v>
      </c>
      <c r="G153" s="76">
        <f>33*1.67</f>
        <v>55.11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5"/>
        <v>54.597960000000008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5">
      <c r="A154" s="160" t="s">
        <v>101</v>
      </c>
      <c r="B154" s="29" t="s">
        <v>194</v>
      </c>
      <c r="C154" s="16">
        <v>250</v>
      </c>
      <c r="D154" s="30">
        <f>4.91*1.25</f>
        <v>6.1375000000000002</v>
      </c>
      <c r="E154" s="30">
        <f>11.01*1.25</f>
        <v>13.762499999999999</v>
      </c>
      <c r="F154" s="30">
        <f>15.43*1.25</f>
        <v>19.287500000000001</v>
      </c>
      <c r="G154" s="30">
        <f>184.83*1.25</f>
        <v>231.03750000000002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5"/>
        <v>230.64750000000001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5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5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x14ac:dyDescent="0.25">
      <c r="A156" s="70" t="s">
        <v>132</v>
      </c>
      <c r="B156" s="27" t="s">
        <v>133</v>
      </c>
      <c r="C156" s="37">
        <v>180</v>
      </c>
      <c r="D156" s="57">
        <f>5.77*1.2</f>
        <v>6.9239999999999995</v>
      </c>
      <c r="E156" s="57">
        <f>10.08*1.2</f>
        <v>12.096</v>
      </c>
      <c r="F156" s="57">
        <f>30.69*1.2</f>
        <v>36.828000000000003</v>
      </c>
      <c r="G156" s="57">
        <f>244*1.2</f>
        <v>292.8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5"/>
        <v>292.62240000000003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7.25" customHeight="1" x14ac:dyDescent="0.25">
      <c r="A157" s="81" t="s">
        <v>42</v>
      </c>
      <c r="B157" s="50" t="s">
        <v>202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5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5">
      <c r="A158" s="35"/>
      <c r="B158" s="73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5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5">
      <c r="A159" s="28"/>
      <c r="B159" s="137"/>
      <c r="C159" s="138">
        <f>SUM(C153:C158)</f>
        <v>855</v>
      </c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P159" s="174">
        <f t="shared" si="25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  <row r="160" spans="1:37" x14ac:dyDescent="0.2">
      <c r="A160" s="28"/>
      <c r="B160" s="27"/>
      <c r="C160" s="16"/>
      <c r="D160" s="37"/>
      <c r="E160" s="16"/>
      <c r="F160" s="92"/>
      <c r="G160" s="37"/>
      <c r="H160" s="17"/>
      <c r="I160" s="139"/>
      <c r="J160" s="12"/>
      <c r="K160" s="34"/>
      <c r="L160" s="12"/>
      <c r="M160" s="12"/>
      <c r="N160" s="17"/>
      <c r="P160" s="174">
        <f t="shared" si="25"/>
        <v>0</v>
      </c>
    </row>
    <row r="161" spans="1:14" x14ac:dyDescent="0.2">
      <c r="A161" s="28"/>
      <c r="B161" s="27"/>
      <c r="C161" s="16"/>
      <c r="D161" s="37"/>
      <c r="E161" s="16"/>
      <c r="F161" s="37"/>
      <c r="G161" s="37"/>
      <c r="H161" s="17"/>
      <c r="I161" s="12"/>
      <c r="J161" s="12"/>
      <c r="K161" s="34"/>
      <c r="L161" s="12"/>
      <c r="M161" s="12"/>
      <c r="N161" s="17"/>
    </row>
  </sheetData>
  <mergeCells count="15">
    <mergeCell ref="B6:C6"/>
    <mergeCell ref="B128:C128"/>
    <mergeCell ref="B144:C144"/>
    <mergeCell ref="P144:R144"/>
    <mergeCell ref="B24:C24"/>
    <mergeCell ref="B39:C39"/>
    <mergeCell ref="B55:C55"/>
    <mergeCell ref="B69:C69"/>
    <mergeCell ref="B84:C84"/>
    <mergeCell ref="A98:C98"/>
    <mergeCell ref="C1:J2"/>
    <mergeCell ref="D3:F3"/>
    <mergeCell ref="G3:G4"/>
    <mergeCell ref="H3:I3"/>
    <mergeCell ref="K3:N3"/>
  </mergeCells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70 руб ГПД </vt:lpstr>
      <vt:lpstr>127-49 руб 7-11 лет  коррек</vt:lpstr>
      <vt:lpstr>139-29  руб 12-18 лет коррекц </vt:lpstr>
      <vt:lpstr>'127-49 руб 7-11 лет  коррек'!Область_печати</vt:lpstr>
      <vt:lpstr>'139-29  руб 12-18 лет коррекц '!Область_печати</vt:lpstr>
      <vt:lpstr>'70 руб ГПД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Овсянникова Оксана</dc:creator>
  <cp:lastModifiedBy>user</cp:lastModifiedBy>
  <cp:lastPrinted>2023-12-27T07:18:38Z</cp:lastPrinted>
  <dcterms:created xsi:type="dcterms:W3CDTF">2018-10-04T05:32:37Z</dcterms:created>
  <dcterms:modified xsi:type="dcterms:W3CDTF">2024-01-09T08:10:13Z</dcterms:modified>
</cp:coreProperties>
</file>